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19980" windowHeight="7050"/>
  </bookViews>
  <sheets>
    <sheet name="Graafit" sheetId="9" r:id="rId1"/>
    <sheet name="Tuulivoimamelu " sheetId="5" r:id="rId2"/>
    <sheet name="Sisämelukäyrät" sheetId="1" r:id="rId3"/>
    <sheet name="Maavaimennus" sheetId="8" r:id="rId4"/>
    <sheet name="Ilmastovaimennus" sheetId="6" r:id="rId5"/>
    <sheet name="Muunnokset lin A C" sheetId="2" r:id="rId6"/>
    <sheet name="Kaavaselitykset" sheetId="4" r:id="rId7"/>
    <sheet name="Vestas 112 dataa" sheetId="3" r:id="rId8"/>
  </sheets>
  <calcPr calcId="125725"/>
</workbook>
</file>

<file path=xl/calcChain.xml><?xml version="1.0" encoding="utf-8"?>
<calcChain xmlns="http://schemas.openxmlformats.org/spreadsheetml/2006/main">
  <c r="W80" i="9"/>
  <c r="W79"/>
  <c r="W78"/>
  <c r="W77"/>
  <c r="W76"/>
  <c r="W75"/>
  <c r="U127"/>
  <c r="U67"/>
  <c r="B261" i="5"/>
  <c r="B262" s="1"/>
  <c r="F262" s="1"/>
  <c r="X20" i="9"/>
  <c r="AG28" i="1"/>
  <c r="AG27"/>
  <c r="AG26"/>
  <c r="AG25"/>
  <c r="AG24"/>
  <c r="AG23"/>
  <c r="AG22"/>
  <c r="AG21"/>
  <c r="AG20"/>
  <c r="AG19"/>
  <c r="AG18"/>
  <c r="AG42"/>
  <c r="AG49"/>
  <c r="AG48"/>
  <c r="AG47"/>
  <c r="AG46"/>
  <c r="AG45"/>
  <c r="AG44"/>
  <c r="AG43"/>
  <c r="AG41"/>
  <c r="AG40"/>
  <c r="AG39"/>
  <c r="N256" i="5"/>
  <c r="N241"/>
  <c r="N225"/>
  <c r="N209"/>
  <c r="N193"/>
  <c r="N177"/>
  <c r="N161"/>
  <c r="N145"/>
  <c r="N129"/>
  <c r="N114"/>
  <c r="N98"/>
  <c r="N82"/>
  <c r="N66"/>
  <c r="N51"/>
  <c r="L254"/>
  <c r="F254"/>
  <c r="L253"/>
  <c r="F253"/>
  <c r="L252"/>
  <c r="F252"/>
  <c r="L251"/>
  <c r="F251"/>
  <c r="L250"/>
  <c r="F250"/>
  <c r="L249"/>
  <c r="F249"/>
  <c r="L248"/>
  <c r="F248"/>
  <c r="L247"/>
  <c r="F247"/>
  <c r="L246"/>
  <c r="F246"/>
  <c r="L245"/>
  <c r="F245"/>
  <c r="L244"/>
  <c r="F244"/>
  <c r="L239"/>
  <c r="F239"/>
  <c r="L238"/>
  <c r="F238"/>
  <c r="L237"/>
  <c r="F237"/>
  <c r="L236"/>
  <c r="F236"/>
  <c r="L235"/>
  <c r="F235"/>
  <c r="L234"/>
  <c r="F234"/>
  <c r="L233"/>
  <c r="F233"/>
  <c r="L232"/>
  <c r="F232"/>
  <c r="L231"/>
  <c r="F231"/>
  <c r="L230"/>
  <c r="F230"/>
  <c r="L229"/>
  <c r="F229"/>
  <c r="L223"/>
  <c r="F223"/>
  <c r="L222"/>
  <c r="F222"/>
  <c r="L221"/>
  <c r="F221"/>
  <c r="L220"/>
  <c r="F220"/>
  <c r="L219"/>
  <c r="F219"/>
  <c r="L218"/>
  <c r="F218"/>
  <c r="L217"/>
  <c r="F217"/>
  <c r="L216"/>
  <c r="F216"/>
  <c r="L215"/>
  <c r="F215"/>
  <c r="L214"/>
  <c r="F214"/>
  <c r="L213"/>
  <c r="F213"/>
  <c r="L207"/>
  <c r="F207"/>
  <c r="L206"/>
  <c r="F206"/>
  <c r="L205"/>
  <c r="F205"/>
  <c r="L204"/>
  <c r="F204"/>
  <c r="L203"/>
  <c r="F203"/>
  <c r="L202"/>
  <c r="F202"/>
  <c r="L201"/>
  <c r="F201"/>
  <c r="L200"/>
  <c r="F200"/>
  <c r="L199"/>
  <c r="F199"/>
  <c r="L198"/>
  <c r="F198"/>
  <c r="L197"/>
  <c r="F197"/>
  <c r="L191"/>
  <c r="F191"/>
  <c r="L190"/>
  <c r="F190"/>
  <c r="L189"/>
  <c r="F189"/>
  <c r="L188"/>
  <c r="F188"/>
  <c r="L187"/>
  <c r="F187"/>
  <c r="L186"/>
  <c r="F186"/>
  <c r="L185"/>
  <c r="F185"/>
  <c r="L184"/>
  <c r="F184"/>
  <c r="L183"/>
  <c r="F183"/>
  <c r="L182"/>
  <c r="F182"/>
  <c r="L181"/>
  <c r="F181"/>
  <c r="L175"/>
  <c r="F175"/>
  <c r="L174"/>
  <c r="F174"/>
  <c r="L173"/>
  <c r="F173"/>
  <c r="L172"/>
  <c r="F172"/>
  <c r="L171"/>
  <c r="F171"/>
  <c r="L170"/>
  <c r="F170"/>
  <c r="L169"/>
  <c r="F169"/>
  <c r="L168"/>
  <c r="F168"/>
  <c r="L167"/>
  <c r="F167"/>
  <c r="L166"/>
  <c r="F166"/>
  <c r="L165"/>
  <c r="F165"/>
  <c r="L159"/>
  <c r="F159"/>
  <c r="L158"/>
  <c r="F158"/>
  <c r="L157"/>
  <c r="F157"/>
  <c r="L156"/>
  <c r="F156"/>
  <c r="L155"/>
  <c r="F155"/>
  <c r="L154"/>
  <c r="F154"/>
  <c r="L153"/>
  <c r="F153"/>
  <c r="L152"/>
  <c r="F152"/>
  <c r="L151"/>
  <c r="F151"/>
  <c r="L150"/>
  <c r="F150"/>
  <c r="L149"/>
  <c r="F149"/>
  <c r="L143"/>
  <c r="F143"/>
  <c r="L142"/>
  <c r="F142"/>
  <c r="L141"/>
  <c r="F141"/>
  <c r="L140"/>
  <c r="F140"/>
  <c r="L139"/>
  <c r="F139"/>
  <c r="L138"/>
  <c r="F138"/>
  <c r="L137"/>
  <c r="F137"/>
  <c r="L136"/>
  <c r="F136"/>
  <c r="L135"/>
  <c r="F135"/>
  <c r="L134"/>
  <c r="F134"/>
  <c r="L133"/>
  <c r="F133"/>
  <c r="L127"/>
  <c r="F127"/>
  <c r="L126"/>
  <c r="F126"/>
  <c r="L125"/>
  <c r="F125"/>
  <c r="L124"/>
  <c r="F124"/>
  <c r="L123"/>
  <c r="F123"/>
  <c r="L122"/>
  <c r="F122"/>
  <c r="L121"/>
  <c r="F121"/>
  <c r="L120"/>
  <c r="F120"/>
  <c r="L119"/>
  <c r="F119"/>
  <c r="L118"/>
  <c r="F118"/>
  <c r="L117"/>
  <c r="F117"/>
  <c r="L112"/>
  <c r="F112"/>
  <c r="L111"/>
  <c r="F111"/>
  <c r="L110"/>
  <c r="F110"/>
  <c r="L109"/>
  <c r="F109"/>
  <c r="L108"/>
  <c r="F108"/>
  <c r="L107"/>
  <c r="F107"/>
  <c r="L106"/>
  <c r="F106"/>
  <c r="L105"/>
  <c r="F105"/>
  <c r="L104"/>
  <c r="F104"/>
  <c r="L103"/>
  <c r="F103"/>
  <c r="L102"/>
  <c r="F102"/>
  <c r="L96"/>
  <c r="F96"/>
  <c r="L95"/>
  <c r="F95"/>
  <c r="L94"/>
  <c r="F94"/>
  <c r="L93"/>
  <c r="F93"/>
  <c r="L92"/>
  <c r="F92"/>
  <c r="L91"/>
  <c r="F91"/>
  <c r="L90"/>
  <c r="F90"/>
  <c r="L89"/>
  <c r="F89"/>
  <c r="L88"/>
  <c r="F88"/>
  <c r="L87"/>
  <c r="F87"/>
  <c r="L86"/>
  <c r="F86"/>
  <c r="L80"/>
  <c r="F80"/>
  <c r="L79"/>
  <c r="F79"/>
  <c r="L78"/>
  <c r="F78"/>
  <c r="L77"/>
  <c r="F77"/>
  <c r="L76"/>
  <c r="F76"/>
  <c r="L75"/>
  <c r="F75"/>
  <c r="L74"/>
  <c r="F74"/>
  <c r="L73"/>
  <c r="F73"/>
  <c r="L72"/>
  <c r="F72"/>
  <c r="L71"/>
  <c r="F71"/>
  <c r="L70"/>
  <c r="F70"/>
  <c r="L64"/>
  <c r="F64"/>
  <c r="L63"/>
  <c r="F63"/>
  <c r="L62"/>
  <c r="F62"/>
  <c r="L61"/>
  <c r="F61"/>
  <c r="L60"/>
  <c r="F60"/>
  <c r="L59"/>
  <c r="F59"/>
  <c r="L58"/>
  <c r="F58"/>
  <c r="L57"/>
  <c r="F57"/>
  <c r="L56"/>
  <c r="F56"/>
  <c r="L55"/>
  <c r="F55"/>
  <c r="L54"/>
  <c r="F54"/>
  <c r="F261" l="1"/>
  <c r="L261"/>
  <c r="N273"/>
  <c r="B263"/>
  <c r="L262"/>
  <c r="D116" i="4"/>
  <c r="D115"/>
  <c r="D114"/>
  <c r="D113"/>
  <c r="D112"/>
  <c r="D111"/>
  <c r="D110"/>
  <c r="D109"/>
  <c r="D108"/>
  <c r="D107"/>
  <c r="D106"/>
  <c r="M106"/>
  <c r="F116" s="1"/>
  <c r="L49" i="5"/>
  <c r="L48"/>
  <c r="L47"/>
  <c r="L46"/>
  <c r="L45"/>
  <c r="L44"/>
  <c r="L43"/>
  <c r="L42"/>
  <c r="L41"/>
  <c r="L40"/>
  <c r="L39"/>
  <c r="F41"/>
  <c r="F49"/>
  <c r="F48"/>
  <c r="F47"/>
  <c r="F46"/>
  <c r="F45"/>
  <c r="F44"/>
  <c r="F43"/>
  <c r="F42"/>
  <c r="F40"/>
  <c r="F39"/>
  <c r="J33" i="6"/>
  <c r="I33"/>
  <c r="H33"/>
  <c r="J32"/>
  <c r="I32"/>
  <c r="H32"/>
  <c r="J31"/>
  <c r="I31"/>
  <c r="H31"/>
  <c r="J30"/>
  <c r="I30"/>
  <c r="H30"/>
  <c r="J29"/>
  <c r="I29"/>
  <c r="H29"/>
  <c r="J28"/>
  <c r="I28"/>
  <c r="H28"/>
  <c r="J27"/>
  <c r="I27"/>
  <c r="H27"/>
  <c r="J26"/>
  <c r="I26"/>
  <c r="H26"/>
  <c r="J25"/>
  <c r="I25"/>
  <c r="H25"/>
  <c r="J24"/>
  <c r="I24"/>
  <c r="H24"/>
  <c r="J23"/>
  <c r="I23"/>
  <c r="H23"/>
  <c r="J22"/>
  <c r="I22"/>
  <c r="H22"/>
  <c r="J21"/>
  <c r="I21"/>
  <c r="H21"/>
  <c r="J20"/>
  <c r="I20"/>
  <c r="H20"/>
  <c r="J19"/>
  <c r="I19"/>
  <c r="H19"/>
  <c r="J18"/>
  <c r="I18"/>
  <c r="H18"/>
  <c r="G33"/>
  <c r="F33"/>
  <c r="E33"/>
  <c r="G32"/>
  <c r="F32"/>
  <c r="E32"/>
  <c r="G31"/>
  <c r="F31"/>
  <c r="E31"/>
  <c r="G30"/>
  <c r="F30"/>
  <c r="E30"/>
  <c r="G29"/>
  <c r="F29"/>
  <c r="E29"/>
  <c r="G28"/>
  <c r="F28"/>
  <c r="E28"/>
  <c r="G27"/>
  <c r="F27"/>
  <c r="E27"/>
  <c r="G26"/>
  <c r="F26"/>
  <c r="E26"/>
  <c r="G25"/>
  <c r="F25"/>
  <c r="E25"/>
  <c r="G24"/>
  <c r="F24"/>
  <c r="E24"/>
  <c r="G23"/>
  <c r="F23"/>
  <c r="E23"/>
  <c r="G22"/>
  <c r="F22"/>
  <c r="E22"/>
  <c r="G21"/>
  <c r="F21"/>
  <c r="E21"/>
  <c r="G20"/>
  <c r="F20"/>
  <c r="E20"/>
  <c r="G19"/>
  <c r="F19"/>
  <c r="E19"/>
  <c r="G18"/>
  <c r="F18"/>
  <c r="E18"/>
  <c r="D33"/>
  <c r="D32"/>
  <c r="D31"/>
  <c r="D30"/>
  <c r="D29"/>
  <c r="D28"/>
  <c r="D27"/>
  <c r="D26"/>
  <c r="D25"/>
  <c r="D24"/>
  <c r="D23"/>
  <c r="D22"/>
  <c r="D21"/>
  <c r="D20"/>
  <c r="D19"/>
  <c r="D18"/>
  <c r="C33"/>
  <c r="C32"/>
  <c r="C31"/>
  <c r="C30"/>
  <c r="C29"/>
  <c r="C28"/>
  <c r="C27"/>
  <c r="C26"/>
  <c r="C25"/>
  <c r="C24"/>
  <c r="C23"/>
  <c r="C22"/>
  <c r="C21"/>
  <c r="C20"/>
  <c r="C19"/>
  <c r="C18"/>
  <c r="AH49" i="1"/>
  <c r="AH48"/>
  <c r="AH47"/>
  <c r="AH46"/>
  <c r="AH45"/>
  <c r="AH44"/>
  <c r="AH43"/>
  <c r="AH42"/>
  <c r="AH41"/>
  <c r="AH40"/>
  <c r="AH39"/>
  <c r="AH28"/>
  <c r="AH27"/>
  <c r="AH26"/>
  <c r="AH25"/>
  <c r="AH24"/>
  <c r="AH23"/>
  <c r="AH22"/>
  <c r="AH21"/>
  <c r="AH20"/>
  <c r="AH19"/>
  <c r="AH18"/>
  <c r="M32" i="3"/>
  <c r="N32" s="1"/>
  <c r="M33"/>
  <c r="N33" s="1"/>
  <c r="H32"/>
  <c r="I32" s="1"/>
  <c r="H33"/>
  <c r="I33" s="1"/>
  <c r="M42"/>
  <c r="N42" s="1"/>
  <c r="M41"/>
  <c r="N41" s="1"/>
  <c r="M40"/>
  <c r="N40" s="1"/>
  <c r="M39"/>
  <c r="N39" s="1"/>
  <c r="M38"/>
  <c r="N38" s="1"/>
  <c r="M37"/>
  <c r="N37" s="1"/>
  <c r="M36"/>
  <c r="N36" s="1"/>
  <c r="M35"/>
  <c r="N35" s="1"/>
  <c r="M34"/>
  <c r="N34" s="1"/>
  <c r="H42"/>
  <c r="I42" s="1"/>
  <c r="H41"/>
  <c r="I41" s="1"/>
  <c r="H40"/>
  <c r="I40" s="1"/>
  <c r="H39"/>
  <c r="I39" s="1"/>
  <c r="H38"/>
  <c r="I38" s="1"/>
  <c r="H37"/>
  <c r="I37" s="1"/>
  <c r="H36"/>
  <c r="I36" s="1"/>
  <c r="H35"/>
  <c r="I35" s="1"/>
  <c r="H34"/>
  <c r="I34" s="1"/>
  <c r="D42"/>
  <c r="D41"/>
  <c r="D40"/>
  <c r="D39"/>
  <c r="D38"/>
  <c r="D37"/>
  <c r="D36"/>
  <c r="D35"/>
  <c r="D34"/>
  <c r="D33"/>
  <c r="D32"/>
  <c r="C44" s="1"/>
  <c r="F106" i="4" l="1"/>
  <c r="F107"/>
  <c r="F108"/>
  <c r="F109"/>
  <c r="F110"/>
  <c r="F111"/>
  <c r="F112"/>
  <c r="F113"/>
  <c r="F114"/>
  <c r="F115"/>
  <c r="B264" i="5"/>
  <c r="L263"/>
  <c r="F263"/>
  <c r="H44" i="3"/>
  <c r="AG51" i="1"/>
  <c r="AG30"/>
  <c r="M44" i="3"/>
  <c r="E48"/>
  <c r="AB20" i="9"/>
  <c r="L264" i="5" l="1"/>
  <c r="F264"/>
  <c r="B265"/>
  <c r="C19"/>
  <c r="C20"/>
  <c r="C21"/>
  <c r="C22"/>
  <c r="C23"/>
  <c r="C24"/>
  <c r="C25"/>
  <c r="C26"/>
  <c r="H26" s="1"/>
  <c r="C27"/>
  <c r="C28"/>
  <c r="C29"/>
  <c r="L265" l="1"/>
  <c r="B266"/>
  <c r="F265"/>
  <c r="D48"/>
  <c r="D270" s="1"/>
  <c r="H28"/>
  <c r="I28" s="1"/>
  <c r="D28"/>
  <c r="D44"/>
  <c r="D266" s="1"/>
  <c r="H24"/>
  <c r="I24" s="1"/>
  <c r="D24"/>
  <c r="D42"/>
  <c r="D264" s="1"/>
  <c r="O264" s="1"/>
  <c r="N264" s="1"/>
  <c r="H22"/>
  <c r="I22" s="1"/>
  <c r="D22"/>
  <c r="D49"/>
  <c r="D271" s="1"/>
  <c r="D29"/>
  <c r="H29"/>
  <c r="I29" s="1"/>
  <c r="D47"/>
  <c r="D269" s="1"/>
  <c r="D27"/>
  <c r="H27"/>
  <c r="I27" s="1"/>
  <c r="D45"/>
  <c r="D267" s="1"/>
  <c r="D25"/>
  <c r="H25"/>
  <c r="I25" s="1"/>
  <c r="D43"/>
  <c r="D265" s="1"/>
  <c r="D23"/>
  <c r="H23"/>
  <c r="I23" s="1"/>
  <c r="D41"/>
  <c r="D263" s="1"/>
  <c r="O263" s="1"/>
  <c r="N263" s="1"/>
  <c r="H21"/>
  <c r="I21" s="1"/>
  <c r="D21"/>
  <c r="D39"/>
  <c r="D261" s="1"/>
  <c r="O261" s="1"/>
  <c r="N261" s="1"/>
  <c r="D19"/>
  <c r="H19"/>
  <c r="I19" s="1"/>
  <c r="D46"/>
  <c r="D268" s="1"/>
  <c r="I26"/>
  <c r="D26"/>
  <c r="D40"/>
  <c r="D262" s="1"/>
  <c r="O262" s="1"/>
  <c r="N262" s="1"/>
  <c r="H20"/>
  <c r="I20" s="1"/>
  <c r="D20"/>
  <c r="P263" l="1"/>
  <c r="Y262"/>
  <c r="Z262" s="1"/>
  <c r="P262"/>
  <c r="V262"/>
  <c r="U262" s="1"/>
  <c r="P261"/>
  <c r="Y261"/>
  <c r="Z261" s="1"/>
  <c r="V261"/>
  <c r="U261" s="1"/>
  <c r="Y263"/>
  <c r="Z263" s="1"/>
  <c r="O265"/>
  <c r="N265" s="1"/>
  <c r="V263"/>
  <c r="U263" s="1"/>
  <c r="P264"/>
  <c r="V264"/>
  <c r="U264" s="1"/>
  <c r="Y264"/>
  <c r="Z264" s="1"/>
  <c r="B267"/>
  <c r="L266"/>
  <c r="F266"/>
  <c r="C31"/>
  <c r="D87"/>
  <c r="O87" s="1"/>
  <c r="N87" s="1"/>
  <c r="D118"/>
  <c r="O118" s="1"/>
  <c r="N118" s="1"/>
  <c r="D198"/>
  <c r="O198" s="1"/>
  <c r="N198" s="1"/>
  <c r="D166"/>
  <c r="O166" s="1"/>
  <c r="N166" s="1"/>
  <c r="D55"/>
  <c r="O55" s="1"/>
  <c r="D182"/>
  <c r="O182" s="1"/>
  <c r="N182" s="1"/>
  <c r="D230"/>
  <c r="O230" s="1"/>
  <c r="N230" s="1"/>
  <c r="D150"/>
  <c r="O150" s="1"/>
  <c r="N150" s="1"/>
  <c r="D71"/>
  <c r="O71" s="1"/>
  <c r="N71" s="1"/>
  <c r="D134"/>
  <c r="O134" s="1"/>
  <c r="N134" s="1"/>
  <c r="D103"/>
  <c r="O103" s="1"/>
  <c r="N103" s="1"/>
  <c r="D214"/>
  <c r="O214" s="1"/>
  <c r="N214" s="1"/>
  <c r="D245"/>
  <c r="O245" s="1"/>
  <c r="N245" s="1"/>
  <c r="O40"/>
  <c r="D86"/>
  <c r="O86" s="1"/>
  <c r="N86" s="1"/>
  <c r="D117"/>
  <c r="O117" s="1"/>
  <c r="N117" s="1"/>
  <c r="D197"/>
  <c r="O197" s="1"/>
  <c r="N197" s="1"/>
  <c r="D165"/>
  <c r="O165" s="1"/>
  <c r="N165" s="1"/>
  <c r="D54"/>
  <c r="O54" s="1"/>
  <c r="D181"/>
  <c r="O181" s="1"/>
  <c r="N181" s="1"/>
  <c r="D229"/>
  <c r="O229" s="1"/>
  <c r="N229" s="1"/>
  <c r="D149"/>
  <c r="O149" s="1"/>
  <c r="N149" s="1"/>
  <c r="D70"/>
  <c r="O70" s="1"/>
  <c r="N70" s="1"/>
  <c r="D133"/>
  <c r="O133" s="1"/>
  <c r="N133" s="1"/>
  <c r="D102"/>
  <c r="O102" s="1"/>
  <c r="N102" s="1"/>
  <c r="D213"/>
  <c r="O213" s="1"/>
  <c r="N213" s="1"/>
  <c r="D244"/>
  <c r="O244" s="1"/>
  <c r="N244" s="1"/>
  <c r="O39"/>
  <c r="D90"/>
  <c r="O90" s="1"/>
  <c r="N90" s="1"/>
  <c r="D121"/>
  <c r="O121" s="1"/>
  <c r="N121" s="1"/>
  <c r="D201"/>
  <c r="O201" s="1"/>
  <c r="N201" s="1"/>
  <c r="D169"/>
  <c r="O169" s="1"/>
  <c r="N169" s="1"/>
  <c r="D58"/>
  <c r="O58" s="1"/>
  <c r="D185"/>
  <c r="O185" s="1"/>
  <c r="N185" s="1"/>
  <c r="D233"/>
  <c r="O233" s="1"/>
  <c r="N233" s="1"/>
  <c r="D153"/>
  <c r="O153" s="1"/>
  <c r="N153" s="1"/>
  <c r="D74"/>
  <c r="O74" s="1"/>
  <c r="N74" s="1"/>
  <c r="D137"/>
  <c r="O137" s="1"/>
  <c r="N137" s="1"/>
  <c r="D106"/>
  <c r="O106" s="1"/>
  <c r="N106" s="1"/>
  <c r="D217"/>
  <c r="O217" s="1"/>
  <c r="N217" s="1"/>
  <c r="D248"/>
  <c r="O248" s="1"/>
  <c r="N248" s="1"/>
  <c r="O43"/>
  <c r="D94"/>
  <c r="O94" s="1"/>
  <c r="N94" s="1"/>
  <c r="D125"/>
  <c r="O125" s="1"/>
  <c r="N125" s="1"/>
  <c r="D205"/>
  <c r="O205" s="1"/>
  <c r="N205" s="1"/>
  <c r="D173"/>
  <c r="O173" s="1"/>
  <c r="N173" s="1"/>
  <c r="D62"/>
  <c r="O62" s="1"/>
  <c r="D189"/>
  <c r="O189" s="1"/>
  <c r="N189" s="1"/>
  <c r="D237"/>
  <c r="O237" s="1"/>
  <c r="N237" s="1"/>
  <c r="D157"/>
  <c r="O157" s="1"/>
  <c r="N157" s="1"/>
  <c r="D78"/>
  <c r="O78" s="1"/>
  <c r="N78" s="1"/>
  <c r="D141"/>
  <c r="O141" s="1"/>
  <c r="N141" s="1"/>
  <c r="D110"/>
  <c r="O110" s="1"/>
  <c r="N110" s="1"/>
  <c r="D221"/>
  <c r="O221" s="1"/>
  <c r="N221" s="1"/>
  <c r="D252"/>
  <c r="O252" s="1"/>
  <c r="N252" s="1"/>
  <c r="O47"/>
  <c r="D89"/>
  <c r="O89" s="1"/>
  <c r="N89" s="1"/>
  <c r="D120"/>
  <c r="O120" s="1"/>
  <c r="N120" s="1"/>
  <c r="D200"/>
  <c r="O200" s="1"/>
  <c r="N200" s="1"/>
  <c r="D168"/>
  <c r="O168" s="1"/>
  <c r="N168" s="1"/>
  <c r="D57"/>
  <c r="O57" s="1"/>
  <c r="D184"/>
  <c r="O184" s="1"/>
  <c r="N184" s="1"/>
  <c r="D232"/>
  <c r="O232" s="1"/>
  <c r="N232" s="1"/>
  <c r="D152"/>
  <c r="O152" s="1"/>
  <c r="N152" s="1"/>
  <c r="D73"/>
  <c r="O73" s="1"/>
  <c r="N73" s="1"/>
  <c r="D136"/>
  <c r="O136" s="1"/>
  <c r="N136" s="1"/>
  <c r="D105"/>
  <c r="O105" s="1"/>
  <c r="N105" s="1"/>
  <c r="D216"/>
  <c r="O216" s="1"/>
  <c r="N216" s="1"/>
  <c r="D247"/>
  <c r="O247" s="1"/>
  <c r="N247" s="1"/>
  <c r="O42"/>
  <c r="D95"/>
  <c r="O95" s="1"/>
  <c r="N95" s="1"/>
  <c r="D126"/>
  <c r="O126" s="1"/>
  <c r="N126" s="1"/>
  <c r="D206"/>
  <c r="O206" s="1"/>
  <c r="N206" s="1"/>
  <c r="D174"/>
  <c r="O174" s="1"/>
  <c r="N174" s="1"/>
  <c r="D63"/>
  <c r="O63" s="1"/>
  <c r="D190"/>
  <c r="O190" s="1"/>
  <c r="N190" s="1"/>
  <c r="D238"/>
  <c r="O238" s="1"/>
  <c r="N238" s="1"/>
  <c r="D158"/>
  <c r="O158" s="1"/>
  <c r="N158" s="1"/>
  <c r="D79"/>
  <c r="O79" s="1"/>
  <c r="N79" s="1"/>
  <c r="D142"/>
  <c r="O142" s="1"/>
  <c r="N142" s="1"/>
  <c r="D111"/>
  <c r="O111" s="1"/>
  <c r="N111" s="1"/>
  <c r="D222"/>
  <c r="O222" s="1"/>
  <c r="N222" s="1"/>
  <c r="D253"/>
  <c r="O253" s="1"/>
  <c r="N253" s="1"/>
  <c r="O48"/>
  <c r="H31"/>
  <c r="D93"/>
  <c r="O93" s="1"/>
  <c r="N93" s="1"/>
  <c r="D124"/>
  <c r="O124" s="1"/>
  <c r="N124" s="1"/>
  <c r="D204"/>
  <c r="O204" s="1"/>
  <c r="N204" s="1"/>
  <c r="D172"/>
  <c r="O172" s="1"/>
  <c r="N172" s="1"/>
  <c r="D61"/>
  <c r="O61" s="1"/>
  <c r="D188"/>
  <c r="O188" s="1"/>
  <c r="N188" s="1"/>
  <c r="D236"/>
  <c r="O236" s="1"/>
  <c r="N236" s="1"/>
  <c r="D156"/>
  <c r="O156" s="1"/>
  <c r="N156" s="1"/>
  <c r="D77"/>
  <c r="O77" s="1"/>
  <c r="N77" s="1"/>
  <c r="D140"/>
  <c r="O140" s="1"/>
  <c r="N140" s="1"/>
  <c r="D109"/>
  <c r="O109" s="1"/>
  <c r="N109" s="1"/>
  <c r="D220"/>
  <c r="O220" s="1"/>
  <c r="N220" s="1"/>
  <c r="D251"/>
  <c r="O251" s="1"/>
  <c r="N251" s="1"/>
  <c r="O46"/>
  <c r="D88"/>
  <c r="O88" s="1"/>
  <c r="N88" s="1"/>
  <c r="D119"/>
  <c r="O119" s="1"/>
  <c r="N119" s="1"/>
  <c r="D199"/>
  <c r="O199" s="1"/>
  <c r="N199" s="1"/>
  <c r="D167"/>
  <c r="O167" s="1"/>
  <c r="N167" s="1"/>
  <c r="D56"/>
  <c r="O56" s="1"/>
  <c r="D183"/>
  <c r="O183" s="1"/>
  <c r="N183" s="1"/>
  <c r="D231"/>
  <c r="O231" s="1"/>
  <c r="N231" s="1"/>
  <c r="D151"/>
  <c r="O151" s="1"/>
  <c r="N151" s="1"/>
  <c r="D72"/>
  <c r="O72" s="1"/>
  <c r="N72" s="1"/>
  <c r="D135"/>
  <c r="O135" s="1"/>
  <c r="N135" s="1"/>
  <c r="D104"/>
  <c r="O104" s="1"/>
  <c r="N104" s="1"/>
  <c r="D215"/>
  <c r="O215" s="1"/>
  <c r="N215" s="1"/>
  <c r="D246"/>
  <c r="O246" s="1"/>
  <c r="N246" s="1"/>
  <c r="O41"/>
  <c r="D92"/>
  <c r="O92" s="1"/>
  <c r="N92" s="1"/>
  <c r="D123"/>
  <c r="O123" s="1"/>
  <c r="N123" s="1"/>
  <c r="D203"/>
  <c r="O203" s="1"/>
  <c r="N203" s="1"/>
  <c r="D171"/>
  <c r="O171" s="1"/>
  <c r="N171" s="1"/>
  <c r="D60"/>
  <c r="O60" s="1"/>
  <c r="D187"/>
  <c r="O187" s="1"/>
  <c r="N187" s="1"/>
  <c r="D235"/>
  <c r="O235" s="1"/>
  <c r="N235" s="1"/>
  <c r="D155"/>
  <c r="O155" s="1"/>
  <c r="N155" s="1"/>
  <c r="D76"/>
  <c r="O76" s="1"/>
  <c r="N76" s="1"/>
  <c r="D139"/>
  <c r="O139" s="1"/>
  <c r="N139" s="1"/>
  <c r="D108"/>
  <c r="O108" s="1"/>
  <c r="N108" s="1"/>
  <c r="D219"/>
  <c r="O219" s="1"/>
  <c r="N219" s="1"/>
  <c r="D250"/>
  <c r="O250" s="1"/>
  <c r="N250" s="1"/>
  <c r="O45"/>
  <c r="D96"/>
  <c r="O96" s="1"/>
  <c r="N96" s="1"/>
  <c r="D127"/>
  <c r="O127" s="1"/>
  <c r="N127" s="1"/>
  <c r="D207"/>
  <c r="O207" s="1"/>
  <c r="N207" s="1"/>
  <c r="D175"/>
  <c r="O175" s="1"/>
  <c r="N175" s="1"/>
  <c r="D64"/>
  <c r="O64" s="1"/>
  <c r="D191"/>
  <c r="O191" s="1"/>
  <c r="N191" s="1"/>
  <c r="D239"/>
  <c r="O239" s="1"/>
  <c r="N239" s="1"/>
  <c r="D159"/>
  <c r="O159" s="1"/>
  <c r="N159" s="1"/>
  <c r="D80"/>
  <c r="O80" s="1"/>
  <c r="N80" s="1"/>
  <c r="D143"/>
  <c r="O143" s="1"/>
  <c r="N143" s="1"/>
  <c r="D112"/>
  <c r="O112" s="1"/>
  <c r="N112" s="1"/>
  <c r="D223"/>
  <c r="O223" s="1"/>
  <c r="N223" s="1"/>
  <c r="D254"/>
  <c r="O254" s="1"/>
  <c r="N254" s="1"/>
  <c r="O49"/>
  <c r="D91"/>
  <c r="O91" s="1"/>
  <c r="N91" s="1"/>
  <c r="D122"/>
  <c r="O122" s="1"/>
  <c r="N122" s="1"/>
  <c r="D202"/>
  <c r="O202" s="1"/>
  <c r="N202" s="1"/>
  <c r="D170"/>
  <c r="O170" s="1"/>
  <c r="N170" s="1"/>
  <c r="D59"/>
  <c r="O59" s="1"/>
  <c r="D186"/>
  <c r="O186" s="1"/>
  <c r="N186" s="1"/>
  <c r="D234"/>
  <c r="O234" s="1"/>
  <c r="N234" s="1"/>
  <c r="D154"/>
  <c r="O154" s="1"/>
  <c r="N154" s="1"/>
  <c r="D75"/>
  <c r="O75" s="1"/>
  <c r="N75" s="1"/>
  <c r="D138"/>
  <c r="O138" s="1"/>
  <c r="N138" s="1"/>
  <c r="D107"/>
  <c r="O107" s="1"/>
  <c r="N107" s="1"/>
  <c r="D218"/>
  <c r="O218" s="1"/>
  <c r="N218" s="1"/>
  <c r="D249"/>
  <c r="O249" s="1"/>
  <c r="N249" s="1"/>
  <c r="O44"/>
  <c r="W261" l="1"/>
  <c r="W264"/>
  <c r="W263"/>
  <c r="W262"/>
  <c r="P265"/>
  <c r="V265"/>
  <c r="U265" s="1"/>
  <c r="Y265"/>
  <c r="Z265" s="1"/>
  <c r="B268"/>
  <c r="F267"/>
  <c r="L267"/>
  <c r="O266"/>
  <c r="N266" s="1"/>
  <c r="Y249"/>
  <c r="Z249" s="1"/>
  <c r="V249"/>
  <c r="P249"/>
  <c r="V75"/>
  <c r="U75" s="1"/>
  <c r="Y75"/>
  <c r="Z75" s="1"/>
  <c r="P75"/>
  <c r="Y234"/>
  <c r="Z234" s="1"/>
  <c r="V234"/>
  <c r="P234"/>
  <c r="Y59"/>
  <c r="Z59" s="1"/>
  <c r="V59"/>
  <c r="W59" s="1"/>
  <c r="P59"/>
  <c r="Y91"/>
  <c r="Z91" s="1"/>
  <c r="V91"/>
  <c r="U91" s="1"/>
  <c r="P91"/>
  <c r="Y254"/>
  <c r="Z254" s="1"/>
  <c r="V254"/>
  <c r="P254"/>
  <c r="Y112"/>
  <c r="Z112" s="1"/>
  <c r="V112"/>
  <c r="P112"/>
  <c r="V80"/>
  <c r="Y80"/>
  <c r="Z80" s="1"/>
  <c r="P80"/>
  <c r="Y64"/>
  <c r="Z64" s="1"/>
  <c r="V64"/>
  <c r="W64" s="1"/>
  <c r="P64"/>
  <c r="Y207"/>
  <c r="Z207" s="1"/>
  <c r="V207"/>
  <c r="P207"/>
  <c r="Y96"/>
  <c r="Z96" s="1"/>
  <c r="V96"/>
  <c r="P96"/>
  <c r="Y108"/>
  <c r="Z108" s="1"/>
  <c r="V108"/>
  <c r="P108"/>
  <c r="V76"/>
  <c r="Y76"/>
  <c r="Z76" s="1"/>
  <c r="P76"/>
  <c r="Y60"/>
  <c r="Z60" s="1"/>
  <c r="V60"/>
  <c r="W60" s="1"/>
  <c r="P60"/>
  <c r="Y203"/>
  <c r="Z203" s="1"/>
  <c r="V203"/>
  <c r="P203"/>
  <c r="Y246"/>
  <c r="Z246" s="1"/>
  <c r="V246"/>
  <c r="P246"/>
  <c r="Y104"/>
  <c r="Z104" s="1"/>
  <c r="V104"/>
  <c r="U104" s="1"/>
  <c r="P104"/>
  <c r="Y231"/>
  <c r="Z231" s="1"/>
  <c r="V231"/>
  <c r="P231"/>
  <c r="Y56"/>
  <c r="Z56" s="1"/>
  <c r="V56"/>
  <c r="W56" s="1"/>
  <c r="P56"/>
  <c r="Y199"/>
  <c r="Z199" s="1"/>
  <c r="V199"/>
  <c r="P199"/>
  <c r="Y251"/>
  <c r="Z251" s="1"/>
  <c r="P251"/>
  <c r="V251"/>
  <c r="Y109"/>
  <c r="Z109" s="1"/>
  <c r="P109"/>
  <c r="V109"/>
  <c r="V77"/>
  <c r="Y77"/>
  <c r="Z77" s="1"/>
  <c r="P77"/>
  <c r="Y61"/>
  <c r="Z61" s="1"/>
  <c r="V61"/>
  <c r="W61" s="1"/>
  <c r="P61"/>
  <c r="Y44"/>
  <c r="Z44" s="1"/>
  <c r="V44"/>
  <c r="W44" s="1"/>
  <c r="P44"/>
  <c r="Y218"/>
  <c r="Z218" s="1"/>
  <c r="V218"/>
  <c r="P218"/>
  <c r="Y138"/>
  <c r="Z138" s="1"/>
  <c r="V138"/>
  <c r="U138" s="1"/>
  <c r="P138"/>
  <c r="V154"/>
  <c r="U154" s="1"/>
  <c r="Y154"/>
  <c r="Z154" s="1"/>
  <c r="P154"/>
  <c r="Y186"/>
  <c r="Z186" s="1"/>
  <c r="V186"/>
  <c r="P186"/>
  <c r="Y170"/>
  <c r="Z170" s="1"/>
  <c r="V170"/>
  <c r="U170" s="1"/>
  <c r="P170"/>
  <c r="Y122"/>
  <c r="Z122" s="1"/>
  <c r="V122"/>
  <c r="U122" s="1"/>
  <c r="P122"/>
  <c r="V49"/>
  <c r="W49" s="1"/>
  <c r="Y49"/>
  <c r="Z49" s="1"/>
  <c r="P49"/>
  <c r="Y223"/>
  <c r="Z223" s="1"/>
  <c r="V223"/>
  <c r="P223"/>
  <c r="Y143"/>
  <c r="Z143" s="1"/>
  <c r="V143"/>
  <c r="P143"/>
  <c r="V159"/>
  <c r="Y159"/>
  <c r="Z159" s="1"/>
  <c r="P159"/>
  <c r="Y191"/>
  <c r="Z191" s="1"/>
  <c r="V191"/>
  <c r="P191"/>
  <c r="Y175"/>
  <c r="Z175" s="1"/>
  <c r="V175"/>
  <c r="P175"/>
  <c r="Y127"/>
  <c r="Z127" s="1"/>
  <c r="V127"/>
  <c r="P127"/>
  <c r="Y45"/>
  <c r="Z45" s="1"/>
  <c r="V45"/>
  <c r="W45" s="1"/>
  <c r="P45"/>
  <c r="Y219"/>
  <c r="Z219" s="1"/>
  <c r="V219"/>
  <c r="P219"/>
  <c r="Y139"/>
  <c r="Z139" s="1"/>
  <c r="V139"/>
  <c r="P139"/>
  <c r="V155"/>
  <c r="U155" s="1"/>
  <c r="Y155"/>
  <c r="Z155" s="1"/>
  <c r="P155"/>
  <c r="Y187"/>
  <c r="Z187" s="1"/>
  <c r="V187"/>
  <c r="P187"/>
  <c r="Y171"/>
  <c r="Z171" s="1"/>
  <c r="V171"/>
  <c r="P171"/>
  <c r="Y123"/>
  <c r="Z123" s="1"/>
  <c r="V123"/>
  <c r="P123"/>
  <c r="Y41"/>
  <c r="Z41" s="1"/>
  <c r="P41"/>
  <c r="V41"/>
  <c r="W41" s="1"/>
  <c r="Y215"/>
  <c r="Z215" s="1"/>
  <c r="V215"/>
  <c r="P215"/>
  <c r="Y135"/>
  <c r="Z135" s="1"/>
  <c r="V135"/>
  <c r="U135" s="1"/>
  <c r="P135"/>
  <c r="V151"/>
  <c r="U151" s="1"/>
  <c r="Y151"/>
  <c r="Z151" s="1"/>
  <c r="P151"/>
  <c r="Y183"/>
  <c r="Z183" s="1"/>
  <c r="V183"/>
  <c r="P183"/>
  <c r="Y167"/>
  <c r="Z167" s="1"/>
  <c r="V167"/>
  <c r="U167" s="1"/>
  <c r="P167"/>
  <c r="Y119"/>
  <c r="Z119" s="1"/>
  <c r="V119"/>
  <c r="U119" s="1"/>
  <c r="P119"/>
  <c r="P46"/>
  <c r="Y46"/>
  <c r="Z46" s="1"/>
  <c r="V46"/>
  <c r="W46" s="1"/>
  <c r="Y220"/>
  <c r="Z220" s="1"/>
  <c r="V220"/>
  <c r="P220"/>
  <c r="Y140"/>
  <c r="Z140" s="1"/>
  <c r="V140"/>
  <c r="P140"/>
  <c r="V156"/>
  <c r="Y156"/>
  <c r="Z156" s="1"/>
  <c r="P156"/>
  <c r="Y188"/>
  <c r="Z188" s="1"/>
  <c r="V188"/>
  <c r="P188"/>
  <c r="Y172"/>
  <c r="Z172" s="1"/>
  <c r="V172"/>
  <c r="P172"/>
  <c r="Y124"/>
  <c r="Z124" s="1"/>
  <c r="V124"/>
  <c r="P124"/>
  <c r="Y253"/>
  <c r="Z253" s="1"/>
  <c r="P253"/>
  <c r="V253"/>
  <c r="Y111"/>
  <c r="Z111" s="1"/>
  <c r="P111"/>
  <c r="V111"/>
  <c r="V79"/>
  <c r="Y79"/>
  <c r="Z79" s="1"/>
  <c r="P79"/>
  <c r="Y238"/>
  <c r="Z238" s="1"/>
  <c r="V238"/>
  <c r="P238"/>
  <c r="Y63"/>
  <c r="Z63" s="1"/>
  <c r="V63"/>
  <c r="W63" s="1"/>
  <c r="P63"/>
  <c r="Y206"/>
  <c r="Z206" s="1"/>
  <c r="V206"/>
  <c r="P206"/>
  <c r="Y95"/>
  <c r="Z95" s="1"/>
  <c r="V95"/>
  <c r="P95"/>
  <c r="Y247"/>
  <c r="Z247" s="1"/>
  <c r="V247"/>
  <c r="P247"/>
  <c r="Y105"/>
  <c r="Z105" s="1"/>
  <c r="V105"/>
  <c r="U105" s="1"/>
  <c r="P105"/>
  <c r="V73"/>
  <c r="U73" s="1"/>
  <c r="Y73"/>
  <c r="Z73" s="1"/>
  <c r="P73"/>
  <c r="Y232"/>
  <c r="Z232" s="1"/>
  <c r="V232"/>
  <c r="P232"/>
  <c r="Y57"/>
  <c r="Z57" s="1"/>
  <c r="V57"/>
  <c r="W57" s="1"/>
  <c r="P57"/>
  <c r="Y200"/>
  <c r="Z200" s="1"/>
  <c r="V200"/>
  <c r="P200"/>
  <c r="Y89"/>
  <c r="Z89" s="1"/>
  <c r="V89"/>
  <c r="U89" s="1"/>
  <c r="P89"/>
  <c r="Y252"/>
  <c r="Z252" s="1"/>
  <c r="V252"/>
  <c r="P252"/>
  <c r="Y110"/>
  <c r="Z110" s="1"/>
  <c r="V110"/>
  <c r="P110"/>
  <c r="V78"/>
  <c r="Y78"/>
  <c r="Z78" s="1"/>
  <c r="P78"/>
  <c r="Y237"/>
  <c r="Z237" s="1"/>
  <c r="V237"/>
  <c r="P237"/>
  <c r="Y62"/>
  <c r="Z62" s="1"/>
  <c r="V62"/>
  <c r="W62" s="1"/>
  <c r="P62"/>
  <c r="Y205"/>
  <c r="Z205" s="1"/>
  <c r="V205"/>
  <c r="P205"/>
  <c r="Y94"/>
  <c r="Z94" s="1"/>
  <c r="V94"/>
  <c r="P94"/>
  <c r="Y248"/>
  <c r="Z248" s="1"/>
  <c r="V248"/>
  <c r="P248"/>
  <c r="Y106"/>
  <c r="Z106" s="1"/>
  <c r="V106"/>
  <c r="U106" s="1"/>
  <c r="P106"/>
  <c r="V74"/>
  <c r="U74" s="1"/>
  <c r="Y74"/>
  <c r="Z74" s="1"/>
  <c r="P74"/>
  <c r="Y233"/>
  <c r="Z233" s="1"/>
  <c r="V233"/>
  <c r="P233"/>
  <c r="Y58"/>
  <c r="Z58" s="1"/>
  <c r="V58"/>
  <c r="W58" s="1"/>
  <c r="P58"/>
  <c r="Y201"/>
  <c r="Z201" s="1"/>
  <c r="V201"/>
  <c r="P201"/>
  <c r="Y90"/>
  <c r="Z90" s="1"/>
  <c r="V90"/>
  <c r="U90" s="1"/>
  <c r="P90"/>
  <c r="Y244"/>
  <c r="Z244" s="1"/>
  <c r="V244"/>
  <c r="P244"/>
  <c r="V102"/>
  <c r="U102" s="1"/>
  <c r="Y102"/>
  <c r="Z102" s="1"/>
  <c r="P102"/>
  <c r="V70"/>
  <c r="U70" s="1"/>
  <c r="Y70"/>
  <c r="Z70" s="1"/>
  <c r="P70"/>
  <c r="Y229"/>
  <c r="Z229" s="1"/>
  <c r="V229"/>
  <c r="P229"/>
  <c r="Y54"/>
  <c r="Z54" s="1"/>
  <c r="V54"/>
  <c r="W54" s="1"/>
  <c r="P54"/>
  <c r="Y197"/>
  <c r="Z197" s="1"/>
  <c r="V197"/>
  <c r="P197"/>
  <c r="Y86"/>
  <c r="Z86" s="1"/>
  <c r="V86"/>
  <c r="U86" s="1"/>
  <c r="P86"/>
  <c r="Y245"/>
  <c r="Z245" s="1"/>
  <c r="V245"/>
  <c r="P245"/>
  <c r="Y103"/>
  <c r="Z103" s="1"/>
  <c r="V103"/>
  <c r="U103" s="1"/>
  <c r="P103"/>
  <c r="V71"/>
  <c r="U71" s="1"/>
  <c r="Y71"/>
  <c r="Z71" s="1"/>
  <c r="P71"/>
  <c r="Y230"/>
  <c r="Z230" s="1"/>
  <c r="V230"/>
  <c r="P230"/>
  <c r="Y55"/>
  <c r="Z55" s="1"/>
  <c r="V55"/>
  <c r="W55" s="1"/>
  <c r="P55"/>
  <c r="Y198"/>
  <c r="Z198" s="1"/>
  <c r="V198"/>
  <c r="P198"/>
  <c r="Y87"/>
  <c r="Z87" s="1"/>
  <c r="V87"/>
  <c r="U87" s="1"/>
  <c r="P87"/>
  <c r="Y107"/>
  <c r="Z107" s="1"/>
  <c r="V107"/>
  <c r="U107" s="1"/>
  <c r="P107"/>
  <c r="Y202"/>
  <c r="Z202" s="1"/>
  <c r="V202"/>
  <c r="P202"/>
  <c r="Y239"/>
  <c r="Z239" s="1"/>
  <c r="V239"/>
  <c r="P239"/>
  <c r="Y250"/>
  <c r="Z250" s="1"/>
  <c r="V250"/>
  <c r="P250"/>
  <c r="Y235"/>
  <c r="Z235" s="1"/>
  <c r="V235"/>
  <c r="P235"/>
  <c r="Y92"/>
  <c r="Z92" s="1"/>
  <c r="V92"/>
  <c r="P92"/>
  <c r="V72"/>
  <c r="U72" s="1"/>
  <c r="Y72"/>
  <c r="Z72" s="1"/>
  <c r="P72"/>
  <c r="Y88"/>
  <c r="Z88" s="1"/>
  <c r="V88"/>
  <c r="U88" s="1"/>
  <c r="P88"/>
  <c r="Y236"/>
  <c r="Z236" s="1"/>
  <c r="V236"/>
  <c r="P236"/>
  <c r="Y204"/>
  <c r="Z204" s="1"/>
  <c r="V204"/>
  <c r="P204"/>
  <c r="Y93"/>
  <c r="Z93" s="1"/>
  <c r="V93"/>
  <c r="P93"/>
  <c r="P48"/>
  <c r="Y48"/>
  <c r="Z48" s="1"/>
  <c r="V48"/>
  <c r="W48" s="1"/>
  <c r="Y222"/>
  <c r="Z222" s="1"/>
  <c r="V222"/>
  <c r="P222"/>
  <c r="Y142"/>
  <c r="Z142" s="1"/>
  <c r="V142"/>
  <c r="P142"/>
  <c r="V158"/>
  <c r="Y158"/>
  <c r="Z158" s="1"/>
  <c r="P158"/>
  <c r="Y190"/>
  <c r="Z190" s="1"/>
  <c r="V190"/>
  <c r="P190"/>
  <c r="Y174"/>
  <c r="Z174" s="1"/>
  <c r="V174"/>
  <c r="P174"/>
  <c r="Y126"/>
  <c r="Z126" s="1"/>
  <c r="V126"/>
  <c r="P126"/>
  <c r="Y42"/>
  <c r="Z42" s="1"/>
  <c r="V42"/>
  <c r="W42" s="1"/>
  <c r="P42"/>
  <c r="Y216"/>
  <c r="Z216" s="1"/>
  <c r="V216"/>
  <c r="P216"/>
  <c r="Y136"/>
  <c r="Z136" s="1"/>
  <c r="V136"/>
  <c r="U136" s="1"/>
  <c r="P136"/>
  <c r="V152"/>
  <c r="U152" s="1"/>
  <c r="Y152"/>
  <c r="Z152" s="1"/>
  <c r="P152"/>
  <c r="Y184"/>
  <c r="Z184" s="1"/>
  <c r="V184"/>
  <c r="P184"/>
  <c r="Y168"/>
  <c r="Z168" s="1"/>
  <c r="V168"/>
  <c r="U168" s="1"/>
  <c r="P168"/>
  <c r="Y120"/>
  <c r="Z120" s="1"/>
  <c r="V120"/>
  <c r="U120" s="1"/>
  <c r="P120"/>
  <c r="Y47"/>
  <c r="Z47" s="1"/>
  <c r="V47"/>
  <c r="W47" s="1"/>
  <c r="P47"/>
  <c r="Y221"/>
  <c r="Z221" s="1"/>
  <c r="V221"/>
  <c r="P221"/>
  <c r="Y141"/>
  <c r="Z141" s="1"/>
  <c r="V141"/>
  <c r="P141"/>
  <c r="V157"/>
  <c r="Y157"/>
  <c r="Z157" s="1"/>
  <c r="P157"/>
  <c r="Y189"/>
  <c r="Z189" s="1"/>
  <c r="V189"/>
  <c r="P189"/>
  <c r="Y173"/>
  <c r="Z173" s="1"/>
  <c r="V173"/>
  <c r="P173"/>
  <c r="Y125"/>
  <c r="Z125" s="1"/>
  <c r="V125"/>
  <c r="P125"/>
  <c r="Y43"/>
  <c r="Z43" s="1"/>
  <c r="P43"/>
  <c r="V43"/>
  <c r="W43" s="1"/>
  <c r="Y217"/>
  <c r="Z217" s="1"/>
  <c r="V217"/>
  <c r="P217"/>
  <c r="Y137"/>
  <c r="Z137" s="1"/>
  <c r="V137"/>
  <c r="U137" s="1"/>
  <c r="P137"/>
  <c r="V153"/>
  <c r="U153" s="1"/>
  <c r="Y153"/>
  <c r="Z153" s="1"/>
  <c r="P153"/>
  <c r="Y185"/>
  <c r="Z185" s="1"/>
  <c r="V185"/>
  <c r="P185"/>
  <c r="Y169"/>
  <c r="Z169" s="1"/>
  <c r="V169"/>
  <c r="U169" s="1"/>
  <c r="P169"/>
  <c r="Y121"/>
  <c r="Z121" s="1"/>
  <c r="V121"/>
  <c r="U121" s="1"/>
  <c r="P121"/>
  <c r="Y39"/>
  <c r="Z39" s="1"/>
  <c r="P39"/>
  <c r="V39"/>
  <c r="W39" s="1"/>
  <c r="Y213"/>
  <c r="Z213" s="1"/>
  <c r="V213"/>
  <c r="P213"/>
  <c r="Y133"/>
  <c r="Z133" s="1"/>
  <c r="V133"/>
  <c r="U133" s="1"/>
  <c r="P133"/>
  <c r="V149"/>
  <c r="U149" s="1"/>
  <c r="Y149"/>
  <c r="Z149" s="1"/>
  <c r="P149"/>
  <c r="Y181"/>
  <c r="Z181" s="1"/>
  <c r="V181"/>
  <c r="P181"/>
  <c r="Y165"/>
  <c r="Z165" s="1"/>
  <c r="V165"/>
  <c r="U165" s="1"/>
  <c r="P165"/>
  <c r="Y117"/>
  <c r="Z117" s="1"/>
  <c r="V117"/>
  <c r="U117" s="1"/>
  <c r="P117"/>
  <c r="Y40"/>
  <c r="Z40" s="1"/>
  <c r="V40"/>
  <c r="W40" s="1"/>
  <c r="P40"/>
  <c r="Y214"/>
  <c r="Z214" s="1"/>
  <c r="V214"/>
  <c r="P214"/>
  <c r="Y134"/>
  <c r="Z134" s="1"/>
  <c r="V134"/>
  <c r="U134" s="1"/>
  <c r="P134"/>
  <c r="V150"/>
  <c r="U150" s="1"/>
  <c r="Y150"/>
  <c r="Z150" s="1"/>
  <c r="P150"/>
  <c r="Y182"/>
  <c r="Z182" s="1"/>
  <c r="V182"/>
  <c r="P182"/>
  <c r="Y166"/>
  <c r="Z166" s="1"/>
  <c r="V166"/>
  <c r="U166" s="1"/>
  <c r="P166"/>
  <c r="Y118"/>
  <c r="Z118" s="1"/>
  <c r="V118"/>
  <c r="U118" s="1"/>
  <c r="P118"/>
  <c r="W118" l="1"/>
  <c r="W182"/>
  <c r="U182"/>
  <c r="W150"/>
  <c r="W134"/>
  <c r="W165"/>
  <c r="W213"/>
  <c r="U213"/>
  <c r="W121"/>
  <c r="W185"/>
  <c r="U185"/>
  <c r="W153"/>
  <c r="W137"/>
  <c r="W173"/>
  <c r="U173"/>
  <c r="W221"/>
  <c r="U221"/>
  <c r="W120"/>
  <c r="W184"/>
  <c r="U184"/>
  <c r="W152"/>
  <c r="W136"/>
  <c r="W174"/>
  <c r="U174"/>
  <c r="W222"/>
  <c r="U222"/>
  <c r="W236"/>
  <c r="U236"/>
  <c r="W235"/>
  <c r="U235"/>
  <c r="W239"/>
  <c r="U239"/>
  <c r="W107"/>
  <c r="W198"/>
  <c r="U198"/>
  <c r="W230"/>
  <c r="U230"/>
  <c r="W103"/>
  <c r="W102"/>
  <c r="W244"/>
  <c r="U244"/>
  <c r="W201"/>
  <c r="U201"/>
  <c r="W233"/>
  <c r="U233"/>
  <c r="W106"/>
  <c r="W252"/>
  <c r="U252"/>
  <c r="W200"/>
  <c r="U200"/>
  <c r="W232"/>
  <c r="U232"/>
  <c r="W105"/>
  <c r="W111"/>
  <c r="U111"/>
  <c r="W172"/>
  <c r="U172"/>
  <c r="W220"/>
  <c r="U220"/>
  <c r="W119"/>
  <c r="W183"/>
  <c r="U183"/>
  <c r="W151"/>
  <c r="W135"/>
  <c r="W171"/>
  <c r="U171"/>
  <c r="W219"/>
  <c r="U219"/>
  <c r="W127"/>
  <c r="U127"/>
  <c r="W191"/>
  <c r="U191"/>
  <c r="W159"/>
  <c r="U159"/>
  <c r="W143"/>
  <c r="U143"/>
  <c r="W170"/>
  <c r="W218"/>
  <c r="U218"/>
  <c r="W251"/>
  <c r="U251"/>
  <c r="W199"/>
  <c r="U199"/>
  <c r="W231"/>
  <c r="U231"/>
  <c r="W246"/>
  <c r="U246"/>
  <c r="W108"/>
  <c r="U108"/>
  <c r="W207"/>
  <c r="U207"/>
  <c r="W254"/>
  <c r="U254"/>
  <c r="W265"/>
  <c r="W166"/>
  <c r="W214"/>
  <c r="U214"/>
  <c r="W117"/>
  <c r="W181"/>
  <c r="U181"/>
  <c r="W149"/>
  <c r="W133"/>
  <c r="W169"/>
  <c r="W217"/>
  <c r="U217"/>
  <c r="W125"/>
  <c r="U125"/>
  <c r="W189"/>
  <c r="U189"/>
  <c r="W157"/>
  <c r="U157"/>
  <c r="W141"/>
  <c r="U141"/>
  <c r="W168"/>
  <c r="W216"/>
  <c r="U216"/>
  <c r="W126"/>
  <c r="U126"/>
  <c r="W190"/>
  <c r="U190"/>
  <c r="W158"/>
  <c r="U158"/>
  <c r="W142"/>
  <c r="U142"/>
  <c r="W204"/>
  <c r="U204"/>
  <c r="W250"/>
  <c r="U250"/>
  <c r="W202"/>
  <c r="U202"/>
  <c r="W245"/>
  <c r="U245"/>
  <c r="W197"/>
  <c r="U197"/>
  <c r="W229"/>
  <c r="U229"/>
  <c r="W248"/>
  <c r="U248"/>
  <c r="W205"/>
  <c r="U205"/>
  <c r="W237"/>
  <c r="U237"/>
  <c r="W110"/>
  <c r="U110"/>
  <c r="W247"/>
  <c r="U247"/>
  <c r="W206"/>
  <c r="U206"/>
  <c r="W238"/>
  <c r="U238"/>
  <c r="W253"/>
  <c r="U253"/>
  <c r="W124"/>
  <c r="U124"/>
  <c r="W188"/>
  <c r="U188"/>
  <c r="W156"/>
  <c r="U156"/>
  <c r="W140"/>
  <c r="U140"/>
  <c r="W167"/>
  <c r="W215"/>
  <c r="U215"/>
  <c r="W123"/>
  <c r="U123"/>
  <c r="W187"/>
  <c r="U187"/>
  <c r="W155"/>
  <c r="W139"/>
  <c r="U139"/>
  <c r="W175"/>
  <c r="U175"/>
  <c r="W223"/>
  <c r="U223"/>
  <c r="W122"/>
  <c r="W186"/>
  <c r="U186"/>
  <c r="W154"/>
  <c r="W138"/>
  <c r="W109"/>
  <c r="U109"/>
  <c r="W104"/>
  <c r="W203"/>
  <c r="U203"/>
  <c r="W112"/>
  <c r="U112"/>
  <c r="W234"/>
  <c r="U234"/>
  <c r="W249"/>
  <c r="U249"/>
  <c r="W88"/>
  <c r="W72"/>
  <c r="W92"/>
  <c r="U92"/>
  <c r="W87"/>
  <c r="W70"/>
  <c r="W90"/>
  <c r="W78"/>
  <c r="U78"/>
  <c r="W89"/>
  <c r="W79"/>
  <c r="U79"/>
  <c r="W96"/>
  <c r="U96"/>
  <c r="W80"/>
  <c r="U80"/>
  <c r="W91"/>
  <c r="W75"/>
  <c r="W93"/>
  <c r="U93"/>
  <c r="W71"/>
  <c r="W86"/>
  <c r="W74"/>
  <c r="W94"/>
  <c r="U94"/>
  <c r="W73"/>
  <c r="W95"/>
  <c r="U95"/>
  <c r="W77"/>
  <c r="U77"/>
  <c r="W76"/>
  <c r="U76"/>
  <c r="L268"/>
  <c r="F268"/>
  <c r="B269"/>
  <c r="Y266"/>
  <c r="Z266" s="1"/>
  <c r="P266"/>
  <c r="R273" s="1"/>
  <c r="V266"/>
  <c r="U266" s="1"/>
  <c r="O267"/>
  <c r="N267" s="1"/>
  <c r="Y177"/>
  <c r="Y225"/>
  <c r="O29" s="1"/>
  <c r="Y66"/>
  <c r="O19" s="1"/>
  <c r="Y256"/>
  <c r="O31" s="1"/>
  <c r="R177"/>
  <c r="O177"/>
  <c r="M26" s="1"/>
  <c r="O161"/>
  <c r="M25" s="1"/>
  <c r="R161"/>
  <c r="R225"/>
  <c r="O225"/>
  <c r="M29" s="1"/>
  <c r="R51"/>
  <c r="O51"/>
  <c r="M18" s="1"/>
  <c r="R256"/>
  <c r="O256"/>
  <c r="M31" s="1"/>
  <c r="R129"/>
  <c r="O129"/>
  <c r="M23" s="1"/>
  <c r="O193"/>
  <c r="M27" s="1"/>
  <c r="R193"/>
  <c r="R145"/>
  <c r="O145"/>
  <c r="M24" s="1"/>
  <c r="R209"/>
  <c r="O209"/>
  <c r="M28" s="1"/>
  <c r="R241"/>
  <c r="O241"/>
  <c r="M30" s="1"/>
  <c r="R114"/>
  <c r="O114"/>
  <c r="M22" s="1"/>
  <c r="Y129"/>
  <c r="Y193"/>
  <c r="Y161"/>
  <c r="Y145"/>
  <c r="V51"/>
  <c r="N18" s="1"/>
  <c r="Y51"/>
  <c r="Y209"/>
  <c r="V66"/>
  <c r="N19" s="1"/>
  <c r="Y241"/>
  <c r="Y82"/>
  <c r="R98"/>
  <c r="O98"/>
  <c r="M21" s="1"/>
  <c r="R66"/>
  <c r="O66"/>
  <c r="M19" s="1"/>
  <c r="R82"/>
  <c r="O82"/>
  <c r="M20" s="1"/>
  <c r="Y98"/>
  <c r="Y114"/>
  <c r="V98" l="1"/>
  <c r="N21" s="1"/>
  <c r="V193"/>
  <c r="N27" s="1"/>
  <c r="V129"/>
  <c r="N23" s="1"/>
  <c r="V177"/>
  <c r="N26" s="1"/>
  <c r="V82"/>
  <c r="N20" s="1"/>
  <c r="V114"/>
  <c r="N22" s="1"/>
  <c r="V225"/>
  <c r="N29" s="1"/>
  <c r="V145"/>
  <c r="N24" s="1"/>
  <c r="V256"/>
  <c r="N31" s="1"/>
  <c r="V241"/>
  <c r="N30" s="1"/>
  <c r="V209"/>
  <c r="N28" s="1"/>
  <c r="V161"/>
  <c r="N25" s="1"/>
  <c r="W266"/>
  <c r="Y267"/>
  <c r="Z267" s="1"/>
  <c r="P267"/>
  <c r="V267"/>
  <c r="U267" s="1"/>
  <c r="B270"/>
  <c r="F269"/>
  <c r="L269"/>
  <c r="O268"/>
  <c r="N268" s="1"/>
  <c r="O26"/>
  <c r="O21"/>
  <c r="O30"/>
  <c r="O22"/>
  <c r="O20"/>
  <c r="O24"/>
  <c r="O27"/>
  <c r="O23"/>
  <c r="AD66"/>
  <c r="O28"/>
  <c r="AD51"/>
  <c r="O18"/>
  <c r="O25"/>
  <c r="AD161"/>
  <c r="AD193" l="1"/>
  <c r="AD114"/>
  <c r="AD98"/>
  <c r="AD177"/>
  <c r="AD225"/>
  <c r="AD129"/>
  <c r="AD145"/>
  <c r="AD241"/>
  <c r="AD82"/>
  <c r="AD209"/>
  <c r="AD256"/>
  <c r="W267"/>
  <c r="Y268"/>
  <c r="Z268" s="1"/>
  <c r="P268"/>
  <c r="V268"/>
  <c r="U268" s="1"/>
  <c r="O269"/>
  <c r="N269" s="1"/>
  <c r="L270"/>
  <c r="F270"/>
  <c r="B271"/>
  <c r="W268" l="1"/>
  <c r="L271"/>
  <c r="F271"/>
  <c r="Y269"/>
  <c r="Z269" s="1"/>
  <c r="P269"/>
  <c r="V269"/>
  <c r="U269" s="1"/>
  <c r="O270"/>
  <c r="N270" s="1"/>
  <c r="W269" l="1"/>
  <c r="P270"/>
  <c r="V270"/>
  <c r="U270" s="1"/>
  <c r="Y270"/>
  <c r="Z270" s="1"/>
  <c r="O271"/>
  <c r="N271" s="1"/>
  <c r="W270" l="1"/>
  <c r="P271"/>
  <c r="O273" s="1"/>
  <c r="V271"/>
  <c r="U271" s="1"/>
  <c r="Y271"/>
  <c r="Z271" s="1"/>
  <c r="Y273" s="1"/>
  <c r="W271" l="1"/>
  <c r="V273" s="1"/>
  <c r="AD273" s="1"/>
</calcChain>
</file>

<file path=xl/sharedStrings.xml><?xml version="1.0" encoding="utf-8"?>
<sst xmlns="http://schemas.openxmlformats.org/spreadsheetml/2006/main" count="290" uniqueCount="97">
  <si>
    <t>http://www.sengpielaudio.com/calculator-dba-spl.htm</t>
  </si>
  <si>
    <t>Hz</t>
  </si>
  <si>
    <t>dBA</t>
  </si>
  <si>
    <t>dBC</t>
  </si>
  <si>
    <t>dBlin</t>
  </si>
  <si>
    <t>arvio</t>
  </si>
  <si>
    <t>Noise</t>
  </si>
  <si>
    <t xml:space="preserve">    Delta dBC - dBA</t>
  </si>
  <si>
    <t>dB</t>
  </si>
  <si>
    <t>Ylittää limittiarvon 15 dB, jolloin sisämelun tarkastelu otetaan mukaan</t>
  </si>
  <si>
    <t>Tuulivoimala VESTAS  V112  /  3 MW</t>
  </si>
  <si>
    <t>Sisämelun yöaikainen ohjearvo</t>
  </si>
  <si>
    <t>taajuus</t>
  </si>
  <si>
    <t>potenssi</t>
  </si>
  <si>
    <t xml:space="preserve">  huonemelu:</t>
  </si>
  <si>
    <t>dBA / yöaikainen ohje</t>
  </si>
  <si>
    <t>Sisämelun päiväaikainen ohjearvo</t>
  </si>
  <si>
    <t>dBA / päiväaikainen ohje</t>
  </si>
  <si>
    <t>taajus Hz</t>
  </si>
  <si>
    <t>kerroin</t>
  </si>
  <si>
    <t>etäisyys m</t>
  </si>
  <si>
    <t>Noise level  dB_A</t>
  </si>
  <si>
    <t>Noise level  dB_lin</t>
  </si>
  <si>
    <t>Noise level  dB_C</t>
  </si>
  <si>
    <t>etäisyys</t>
  </si>
  <si>
    <t>Määritetään tuulivoiman melutaso etäisyyden funktiona</t>
  </si>
  <si>
    <t xml:space="preserve">  ilmakehän vaimennus</t>
  </si>
  <si>
    <t xml:space="preserve">  maavaimennus</t>
  </si>
  <si>
    <t xml:space="preserve">  suuntaavus</t>
  </si>
  <si>
    <t xml:space="preserve">  etäisyysvaimennus</t>
  </si>
  <si>
    <t>torni</t>
  </si>
  <si>
    <t>siipi</t>
  </si>
  <si>
    <t>D</t>
  </si>
  <si>
    <t>m/s</t>
  </si>
  <si>
    <t>m</t>
  </si>
  <si>
    <t>lamda</t>
  </si>
  <si>
    <t>Df kaukokentä</t>
  </si>
  <si>
    <t>Kaukokenttä  taajuusalueittain =&gt; kaikki kaukokentässä =&gt; vaimennus 6 dB</t>
  </si>
  <si>
    <t xml:space="preserve"> 'sisämelun määrä, jos ikkuna auki</t>
  </si>
  <si>
    <t>ehto dBC - dBA</t>
  </si>
  <si>
    <t xml:space="preserve">    äänen nopeus</t>
  </si>
  <si>
    <t xml:space="preserve">    lamda</t>
  </si>
  <si>
    <t>(vähentää)</t>
  </si>
  <si>
    <t>(lisää)</t>
  </si>
  <si>
    <r>
      <t>VESTAS   V112  L</t>
    </r>
    <r>
      <rPr>
        <sz val="12"/>
        <color theme="1"/>
        <rFont val="Calibri"/>
        <family val="2"/>
        <scheme val="minor"/>
      </rPr>
      <t>WA</t>
    </r>
    <r>
      <rPr>
        <sz val="18"/>
        <color theme="1"/>
        <rFont val="Calibri"/>
        <family val="2"/>
        <scheme val="minor"/>
      </rPr>
      <t xml:space="preserve">  106,6 dBA  tuulivoimalan melun  dBlin, dBA ja dBC level käyrät  etäisyydellä 100 m - 3000 m</t>
    </r>
  </si>
  <si>
    <t>Voimaloiden lukumäärä</t>
  </si>
  <si>
    <r>
      <t>L</t>
    </r>
    <r>
      <rPr>
        <sz val="14"/>
        <color theme="1"/>
        <rFont val="Calibri"/>
        <family val="2"/>
        <scheme val="minor"/>
      </rPr>
      <t>WA</t>
    </r>
  </si>
  <si>
    <t>dBA lähin voimala</t>
  </si>
  <si>
    <t>dBA vieressä oleva</t>
  </si>
  <si>
    <t>dBA takana</t>
  </si>
  <si>
    <t>lähtömelu</t>
  </si>
  <si>
    <t>dBA =&gt;     korotettu level</t>
  </si>
  <si>
    <t>Sisämelun määrä  annetulla etäisyydellä</t>
  </si>
  <si>
    <t xml:space="preserve">etäisyys </t>
  </si>
  <si>
    <t xml:space="preserve">  metriä</t>
  </si>
  <si>
    <t>Sisämelun kriteeri ylittyy &gt; 20 dB, joten tarkastelu tulee tehdä sisämelun perusteella.</t>
  </si>
  <si>
    <r>
      <t xml:space="preserve">ruudukkoon merkitään </t>
    </r>
    <r>
      <rPr>
        <sz val="18"/>
        <color rgb="FF0033CC"/>
        <rFont val="Calibri"/>
        <family val="2"/>
        <scheme val="minor"/>
      </rPr>
      <t>1</t>
    </r>
    <r>
      <rPr>
        <sz val="18"/>
        <color theme="1"/>
        <rFont val="Calibri"/>
        <family val="2"/>
        <scheme val="minor"/>
      </rPr>
      <t>, jos voimala on mukana</t>
    </r>
  </si>
  <si>
    <t>limit dBA</t>
  </si>
  <si>
    <t>700 m</t>
  </si>
  <si>
    <t>900 m</t>
  </si>
  <si>
    <t>1100 m</t>
  </si>
  <si>
    <t>1300 m</t>
  </si>
  <si>
    <t>1500 m</t>
  </si>
  <si>
    <t>1700 m</t>
  </si>
  <si>
    <t>1900 m</t>
  </si>
  <si>
    <t>2100 m</t>
  </si>
  <si>
    <t>2300 m</t>
  </si>
  <si>
    <t>2500 m</t>
  </si>
  <si>
    <t>2700 m</t>
  </si>
  <si>
    <t>3000 m</t>
  </si>
  <si>
    <t xml:space="preserve"> (apusarake)</t>
  </si>
  <si>
    <t>Otatko mukaan etäisyydet  / ruudukkoon  0 tai 1</t>
  </si>
  <si>
    <t>Vapaa etäisyys dBA ja dBlin taulukkoon</t>
  </si>
  <si>
    <t>Vestas V112 voimaloita</t>
  </si>
  <si>
    <t>seinän massa</t>
  </si>
  <si>
    <t>kg/m2</t>
  </si>
  <si>
    <t>seinä mukana</t>
  </si>
  <si>
    <t>Seinän vaimennus (min 17 kg/m2):</t>
  </si>
  <si>
    <r>
      <t>Melun  L</t>
    </r>
    <r>
      <rPr>
        <sz val="12"/>
        <color theme="1"/>
        <rFont val="Calibri"/>
        <family val="2"/>
        <scheme val="minor"/>
      </rPr>
      <t>WA</t>
    </r>
    <r>
      <rPr>
        <sz val="18"/>
        <color theme="1"/>
        <rFont val="Calibri"/>
        <family val="2"/>
        <scheme val="minor"/>
      </rPr>
      <t xml:space="preserve">  35 dBA ylittyy alle 750 metrin etäisyydellä yhden voimalan tapauksessa.  Jos voimaloita on useita, niin korotus vähintään +3 dB =&gt;  </t>
    </r>
    <r>
      <rPr>
        <sz val="18"/>
        <color rgb="FF0033CC"/>
        <rFont val="Calibri"/>
        <family val="2"/>
        <scheme val="minor"/>
      </rPr>
      <t>rajaetäisyys on noin 1100 metriä.</t>
    </r>
  </si>
  <si>
    <t xml:space="preserve">Jos ikkunat täysin auki (kesällä), niin sisämelu on samalla tasolla kuin ulkomelu  =&gt; </t>
  </si>
  <si>
    <t xml:space="preserve">  syöttöikkuna</t>
  </si>
  <si>
    <t>annetulla etäisyydellä / seinä</t>
  </si>
  <si>
    <t>Yöohjeen raja 74,5 dBlin 20 Hz - 200 Hz:n  kaistalla  ei ylity  millään tarkasteluetäisyydellä, koska 20 Hz:n ohjearvo dominoi muut terssikaistat mitättömiksi.</t>
  </si>
  <si>
    <r>
      <t>Sisämelun yöohje L</t>
    </r>
    <r>
      <rPr>
        <sz val="12"/>
        <color theme="1"/>
        <rFont val="Calibri"/>
        <family val="2"/>
        <scheme val="minor"/>
      </rPr>
      <t>WA</t>
    </r>
    <r>
      <rPr>
        <sz val="18"/>
        <color theme="1"/>
        <rFont val="Calibri"/>
        <family val="2"/>
        <scheme val="minor"/>
      </rPr>
      <t xml:space="preserve"> 29,7 dBA / 20 Hz - 200 Hz kaistalla ei ylity  millään tarkasteluetäisyydellä.</t>
    </r>
  </si>
  <si>
    <r>
      <rPr>
        <b/>
        <sz val="18"/>
        <color theme="1"/>
        <rFont val="Calibri"/>
        <family val="2"/>
        <scheme val="minor"/>
      </rPr>
      <t>Ilman</t>
    </r>
    <r>
      <rPr>
        <sz val="18"/>
        <color theme="1"/>
        <rFont val="Calibri"/>
        <family val="2"/>
        <scheme val="minor"/>
      </rPr>
      <t xml:space="preserve"> seinävaimennusta sisämelun yöohje ylittyy  </t>
    </r>
    <r>
      <rPr>
        <sz val="18"/>
        <color rgb="FF0033CC"/>
        <rFont val="Calibri"/>
        <family val="2"/>
        <scheme val="minor"/>
      </rPr>
      <t>yhden voimalan tapauksessa</t>
    </r>
    <r>
      <rPr>
        <sz val="18"/>
        <color theme="1"/>
        <rFont val="Calibri"/>
        <family val="2"/>
        <scheme val="minor"/>
      </rPr>
      <t xml:space="preserve"> taajuusalueella 60 - 80 Hz vasta 2400 metrin etäisyydellä. </t>
    </r>
  </si>
  <si>
    <t>Ulkoseinän vaimennus saadaan, kun tunnetaan seinän ekvivalenttinen neliöpaino  kg/m2. Syöttö ikkunaan.</t>
  </si>
  <si>
    <r>
      <rPr>
        <sz val="18"/>
        <color rgb="FF0033CC"/>
        <rFont val="Calibri"/>
        <family val="2"/>
        <scheme val="minor"/>
      </rPr>
      <t>Monen voimalan</t>
    </r>
    <r>
      <rPr>
        <sz val="18"/>
        <color theme="1"/>
        <rFont val="Calibri"/>
        <family val="2"/>
        <scheme val="minor"/>
      </rPr>
      <t xml:space="preserve"> tapauksessa sisämelun terssikohtainen yöohje ylittyy kapealla  50 Hz:n kaistalla  1100 metrin etäisyydellä ( seinän ekvivalenttipaino 17 kg/m2).</t>
    </r>
  </si>
  <si>
    <t>Loma-asuntojen kohdalla seinävaimennus yleensä vaatimaton ja kesällä ikkunat auki.</t>
  </si>
  <si>
    <t>=&gt;  sisämelun perusteella vähimmäisetäisyys tulisi olla vähintään  2000 metriä.</t>
  </si>
  <si>
    <t>Syöttöruutuun voi laittaa vapaasti valitun etäisyyden</t>
  </si>
  <si>
    <t xml:space="preserve"> '&lt;==  tällä valitaan seinävaimennus mukaan</t>
  </si>
  <si>
    <t>ympäristössä bassomelu pilaa virkistymismahdollisuuden vaikka  A-painotettu taso olisi  alle 35 dBA.</t>
  </si>
  <si>
    <r>
      <t>Seinän vähäisellä vaimennuksella (</t>
    </r>
    <r>
      <rPr>
        <sz val="16"/>
        <color theme="1"/>
        <rFont val="Calibri"/>
        <family val="2"/>
        <scheme val="minor"/>
      </rPr>
      <t>17 kg/m2</t>
    </r>
    <r>
      <rPr>
        <sz val="18"/>
        <color theme="1"/>
        <rFont val="Calibri"/>
        <family val="2"/>
        <scheme val="minor"/>
      </rPr>
      <t>) eli ikkunat rakosillaan tai auki  kokonaan yömelun ohjearvo ylittyy 50 Hz:n taajuudella  700 metrin etäisyydellä.</t>
    </r>
  </si>
  <si>
    <t>Valintaikkunoissa mahdollisuus antaa 0 tai 1 (punainen väri), jos ko. parametri halutaan mukaan</t>
  </si>
  <si>
    <r>
      <t xml:space="preserve">tästä saadaan, että  </t>
    </r>
    <r>
      <rPr>
        <sz val="18"/>
        <color rgb="FFFF0000"/>
        <rFont val="Calibri"/>
        <family val="2"/>
        <scheme val="minor"/>
      </rPr>
      <t>päivämelun ohjearvo alittuu vasta  2200 metrin etäisyydellä.</t>
    </r>
  </si>
  <si>
    <r>
      <t xml:space="preserve">( taulukossa  </t>
    </r>
    <r>
      <rPr>
        <sz val="18"/>
        <color rgb="FF0033CC"/>
        <rFont val="Calibri"/>
        <family val="2"/>
        <scheme val="minor"/>
      </rPr>
      <t>seinä mukana</t>
    </r>
    <r>
      <rPr>
        <sz val="18"/>
        <color theme="1"/>
        <rFont val="Calibri"/>
        <family val="2"/>
        <scheme val="minor"/>
      </rPr>
      <t xml:space="preserve"> valinta asetettu  = 0 )  // Yöohje ylittyy laajalla kaistalla, kts kuvaa.</t>
    </r>
  </si>
  <si>
    <t>Oleskelu ulkona ilta-aikaan täyttää sisäasumisen olosuhteet, jolloin muutoin täysin hiljaisessa</t>
  </si>
</sst>
</file>

<file path=xl/styles.xml><?xml version="1.0" encoding="utf-8"?>
<styleSheet xmlns="http://schemas.openxmlformats.org/spreadsheetml/2006/main">
  <numFmts count="1">
    <numFmt numFmtId="164" formatCode="0.0"/>
  </numFmts>
  <fonts count="20">
    <font>
      <sz val="11"/>
      <color theme="1"/>
      <name val="Calibri"/>
      <family val="2"/>
      <scheme val="minor"/>
    </font>
    <font>
      <u/>
      <sz val="9.9"/>
      <color theme="10"/>
      <name val="Calibri"/>
      <family val="2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0070C0"/>
      <name val="Calibri"/>
      <family val="2"/>
      <scheme val="minor"/>
    </font>
    <font>
      <sz val="16"/>
      <color rgb="FF0033CC"/>
      <name val="Calibri"/>
      <family val="2"/>
      <scheme val="minor"/>
    </font>
    <font>
      <b/>
      <sz val="16"/>
      <color rgb="FF0033CC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rgb="FF0033CC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rgb="FF0033CC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6ECF2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rgb="FFFFFF9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40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0" borderId="0" xfId="1" applyFont="1" applyAlignment="1" applyProtection="1"/>
    <xf numFmtId="0" fontId="2" fillId="0" borderId="0" xfId="0" applyFont="1" applyAlignment="1">
      <alignment horizontal="center"/>
    </xf>
    <xf numFmtId="0" fontId="6" fillId="0" borderId="0" xfId="0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7" fillId="2" borderId="1" xfId="0" applyFont="1" applyFill="1" applyBorder="1"/>
    <xf numFmtId="0" fontId="4" fillId="2" borderId="0" xfId="0" applyFont="1" applyFill="1" applyBorder="1"/>
    <xf numFmtId="164" fontId="8" fillId="2" borderId="0" xfId="0" applyNumberFormat="1" applyFont="1" applyFill="1" applyBorder="1" applyAlignment="1">
      <alignment horizontal="center"/>
    </xf>
    <xf numFmtId="0" fontId="6" fillId="0" borderId="0" xfId="0" applyFont="1" applyBorder="1"/>
    <xf numFmtId="0" fontId="6" fillId="0" borderId="2" xfId="0" applyFont="1" applyBorder="1"/>
    <xf numFmtId="0" fontId="6" fillId="2" borderId="2" xfId="0" applyFont="1" applyFill="1" applyBorder="1"/>
    <xf numFmtId="0" fontId="10" fillId="0" borderId="0" xfId="0" applyFont="1"/>
    <xf numFmtId="0" fontId="0" fillId="0" borderId="1" xfId="0" applyBorder="1"/>
    <xf numFmtId="0" fontId="2" fillId="0" borderId="0" xfId="0" applyFont="1" applyBorder="1" applyAlignment="1">
      <alignment horizontal="left"/>
    </xf>
    <xf numFmtId="0" fontId="0" fillId="0" borderId="2" xfId="0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2" borderId="0" xfId="0" applyFont="1" applyFill="1" applyBorder="1"/>
    <xf numFmtId="0" fontId="0" fillId="0" borderId="0" xfId="0" quotePrefix="1" applyBorder="1"/>
    <xf numFmtId="0" fontId="2" fillId="2" borderId="1" xfId="0" applyFont="1" applyFill="1" applyBorder="1"/>
    <xf numFmtId="0" fontId="0" fillId="2" borderId="0" xfId="0" applyFill="1" applyBorder="1"/>
    <xf numFmtId="0" fontId="0" fillId="0" borderId="0" xfId="0" applyFill="1" applyBorder="1"/>
    <xf numFmtId="0" fontId="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/>
    <xf numFmtId="0" fontId="0" fillId="0" borderId="0" xfId="0" quotePrefix="1" applyFill="1" applyBorder="1"/>
    <xf numFmtId="0" fontId="0" fillId="0" borderId="0" xfId="0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2" borderId="10" xfId="0" applyFont="1" applyFill="1" applyBorder="1"/>
    <xf numFmtId="0" fontId="6" fillId="2" borderId="11" xfId="0" applyFont="1" applyFill="1" applyBorder="1"/>
    <xf numFmtId="0" fontId="9" fillId="0" borderId="0" xfId="0" applyFont="1" applyBorder="1"/>
    <xf numFmtId="0" fontId="9" fillId="0" borderId="2" xfId="0" applyFont="1" applyBorder="1"/>
    <xf numFmtId="0" fontId="9" fillId="0" borderId="4" xfId="0" applyFont="1" applyBorder="1"/>
    <xf numFmtId="0" fontId="9" fillId="0" borderId="5" xfId="0" applyFont="1" applyBorder="1"/>
    <xf numFmtId="0" fontId="5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0" fillId="0" borderId="0" xfId="0" applyFont="1" applyBorder="1"/>
    <xf numFmtId="0" fontId="2" fillId="3" borderId="0" xfId="0" applyFont="1" applyFill="1" applyBorder="1"/>
    <xf numFmtId="0" fontId="5" fillId="0" borderId="9" xfId="0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" fillId="3" borderId="4" xfId="0" applyFont="1" applyFill="1" applyBorder="1"/>
    <xf numFmtId="0" fontId="11" fillId="0" borderId="0" xfId="0" applyFont="1"/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2" fontId="14" fillId="0" borderId="0" xfId="0" applyNumberFormat="1" applyFont="1"/>
    <xf numFmtId="164" fontId="6" fillId="4" borderId="0" xfId="0" applyNumberFormat="1" applyFont="1" applyFill="1" applyAlignment="1">
      <alignment horizontal="center"/>
    </xf>
    <xf numFmtId="0" fontId="6" fillId="4" borderId="0" xfId="0" applyFont="1" applyFill="1"/>
    <xf numFmtId="0" fontId="7" fillId="0" borderId="0" xfId="0" applyFont="1"/>
    <xf numFmtId="0" fontId="2" fillId="4" borderId="1" xfId="0" applyFont="1" applyFill="1" applyBorder="1"/>
    <xf numFmtId="0" fontId="2" fillId="5" borderId="1" xfId="0" applyFont="1" applyFill="1" applyBorder="1" applyAlignment="1">
      <alignment horizontal="right"/>
    </xf>
    <xf numFmtId="0" fontId="2" fillId="5" borderId="1" xfId="0" applyFont="1" applyFill="1" applyBorder="1"/>
    <xf numFmtId="0" fontId="12" fillId="0" borderId="9" xfId="0" applyFont="1" applyBorder="1"/>
    <xf numFmtId="0" fontId="2" fillId="0" borderId="10" xfId="0" applyFont="1" applyBorder="1"/>
    <xf numFmtId="164" fontId="15" fillId="0" borderId="0" xfId="0" applyNumberFormat="1" applyFont="1"/>
    <xf numFmtId="164" fontId="2" fillId="0" borderId="0" xfId="0" applyNumberFormat="1" applyFont="1" applyAlignment="1">
      <alignment horizontal="center"/>
    </xf>
    <xf numFmtId="164" fontId="2" fillId="2" borderId="0" xfId="0" applyNumberFormat="1" applyFont="1" applyFill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2" borderId="0" xfId="0" applyFill="1"/>
    <xf numFmtId="1" fontId="0" fillId="0" borderId="0" xfId="0" applyNumberFormat="1" applyBorder="1"/>
    <xf numFmtId="1" fontId="0" fillId="0" borderId="4" xfId="0" applyNumberFormat="1" applyBorder="1"/>
    <xf numFmtId="0" fontId="17" fillId="0" borderId="0" xfId="0" applyFont="1"/>
    <xf numFmtId="0" fontId="18" fillId="2" borderId="6" xfId="0" quotePrefix="1" applyFont="1" applyFill="1" applyBorder="1"/>
    <xf numFmtId="0" fontId="0" fillId="2" borderId="7" xfId="0" applyFill="1" applyBorder="1"/>
    <xf numFmtId="0" fontId="0" fillId="2" borderId="8" xfId="0" applyFill="1" applyBorder="1"/>
    <xf numFmtId="0" fontId="17" fillId="2" borderId="6" xfId="0" applyFont="1" applyFill="1" applyBorder="1"/>
    <xf numFmtId="0" fontId="11" fillId="0" borderId="1" xfId="0" applyFont="1" applyBorder="1"/>
    <xf numFmtId="0" fontId="11" fillId="0" borderId="0" xfId="0" applyFont="1" applyBorder="1"/>
    <xf numFmtId="164" fontId="11" fillId="2" borderId="0" xfId="0" applyNumberFormat="1" applyFont="1" applyFill="1" applyBorder="1"/>
    <xf numFmtId="1" fontId="11" fillId="0" borderId="0" xfId="0" applyNumberFormat="1" applyFont="1" applyBorder="1"/>
    <xf numFmtId="164" fontId="11" fillId="0" borderId="0" xfId="0" applyNumberFormat="1" applyFont="1" applyBorder="1"/>
    <xf numFmtId="164" fontId="2" fillId="0" borderId="0" xfId="0" applyNumberFormat="1" applyFont="1" applyBorder="1"/>
    <xf numFmtId="0" fontId="11" fillId="0" borderId="3" xfId="0" applyFont="1" applyBorder="1"/>
    <xf numFmtId="0" fontId="11" fillId="0" borderId="4" xfId="0" applyFont="1" applyBorder="1"/>
    <xf numFmtId="164" fontId="11" fillId="2" borderId="6" xfId="0" applyNumberFormat="1" applyFont="1" applyFill="1" applyBorder="1"/>
    <xf numFmtId="0" fontId="11" fillId="2" borderId="8" xfId="0" applyFont="1" applyFill="1" applyBorder="1"/>
    <xf numFmtId="164" fontId="2" fillId="5" borderId="0" xfId="0" applyNumberFormat="1" applyFont="1" applyFill="1" applyBorder="1" applyAlignment="1">
      <alignment horizontal="right"/>
    </xf>
    <xf numFmtId="164" fontId="0" fillId="0" borderId="0" xfId="0" applyNumberFormat="1" applyFont="1" applyBorder="1"/>
    <xf numFmtId="164" fontId="2" fillId="4" borderId="0" xfId="0" applyNumberFormat="1" applyFont="1" applyFill="1" applyBorder="1"/>
    <xf numFmtId="1" fontId="0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0" fontId="0" fillId="0" borderId="13" xfId="0" applyFill="1" applyBorder="1" applyAlignment="1">
      <alignment horizontal="center"/>
    </xf>
    <xf numFmtId="164" fontId="0" fillId="0" borderId="14" xfId="0" applyNumberForma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0" fontId="11" fillId="0" borderId="9" xfId="0" applyFont="1" applyBorder="1"/>
    <xf numFmtId="0" fontId="11" fillId="0" borderId="10" xfId="0" applyFont="1" applyBorder="1"/>
    <xf numFmtId="0" fontId="11" fillId="0" borderId="1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0" fontId="0" fillId="0" borderId="13" xfId="0" applyBorder="1"/>
    <xf numFmtId="0" fontId="0" fillId="0" borderId="15" xfId="0" applyBorder="1"/>
    <xf numFmtId="0" fontId="18" fillId="0" borderId="14" xfId="0" applyFont="1" applyFill="1" applyBorder="1" applyAlignment="1">
      <alignment horizontal="center"/>
    </xf>
    <xf numFmtId="164" fontId="2" fillId="0" borderId="0" xfId="0" applyNumberFormat="1" applyFont="1"/>
    <xf numFmtId="0" fontId="11" fillId="0" borderId="2" xfId="0" applyFont="1" applyBorder="1"/>
    <xf numFmtId="0" fontId="11" fillId="0" borderId="1" xfId="0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0" fontId="17" fillId="0" borderId="9" xfId="0" applyFont="1" applyBorder="1"/>
    <xf numFmtId="0" fontId="4" fillId="0" borderId="10" xfId="0" applyFont="1" applyBorder="1"/>
    <xf numFmtId="0" fontId="11" fillId="0" borderId="0" xfId="0" applyFont="1" applyAlignment="1">
      <alignment horizontal="right"/>
    </xf>
    <xf numFmtId="0" fontId="17" fillId="6" borderId="12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center"/>
    </xf>
    <xf numFmtId="1" fontId="17" fillId="0" borderId="13" xfId="0" applyNumberFormat="1" applyFont="1" applyBorder="1" applyAlignment="1">
      <alignment horizontal="center"/>
    </xf>
    <xf numFmtId="1" fontId="17" fillId="0" borderId="14" xfId="0" applyNumberFormat="1" applyFont="1" applyBorder="1" applyAlignment="1">
      <alignment horizontal="center"/>
    </xf>
    <xf numFmtId="1" fontId="17" fillId="0" borderId="15" xfId="0" applyNumberFormat="1" applyFont="1" applyBorder="1" applyAlignment="1">
      <alignment horizontal="center"/>
    </xf>
    <xf numFmtId="0" fontId="17" fillId="6" borderId="0" xfId="0" applyFont="1" applyFill="1" applyBorder="1" applyAlignment="1">
      <alignment horizontal="center"/>
    </xf>
    <xf numFmtId="0" fontId="17" fillId="6" borderId="4" xfId="0" applyFont="1" applyFill="1" applyBorder="1" applyAlignment="1">
      <alignment horizontal="center"/>
    </xf>
    <xf numFmtId="0" fontId="17" fillId="6" borderId="14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33CC"/>
      <color rgb="FFFFFF9F"/>
      <color rgb="FFCDE8EF"/>
      <color rgb="FFFFFF7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plotArea>
      <c:layout/>
      <c:scatterChart>
        <c:scatterStyle val="lineMarker"/>
        <c:ser>
          <c:idx val="0"/>
          <c:order val="0"/>
          <c:tx>
            <c:v>dBlin</c:v>
          </c:tx>
          <c:marker>
            <c:symbol val="none"/>
          </c:marker>
          <c:xVal>
            <c:numRef>
              <c:f>'Tuulivoimamelu '!$L$17:$L$31</c:f>
              <c:numCache>
                <c:formatCode>General</c:formatCode>
                <c:ptCount val="15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700</c:v>
                </c:pt>
                <c:pt idx="4">
                  <c:v>900</c:v>
                </c:pt>
                <c:pt idx="5">
                  <c:v>1100</c:v>
                </c:pt>
                <c:pt idx="6">
                  <c:v>1300</c:v>
                </c:pt>
                <c:pt idx="7">
                  <c:v>1500</c:v>
                </c:pt>
                <c:pt idx="8">
                  <c:v>1700</c:v>
                </c:pt>
                <c:pt idx="9">
                  <c:v>1900</c:v>
                </c:pt>
                <c:pt idx="10">
                  <c:v>2100</c:v>
                </c:pt>
                <c:pt idx="11">
                  <c:v>2300</c:v>
                </c:pt>
                <c:pt idx="12">
                  <c:v>2500</c:v>
                </c:pt>
                <c:pt idx="13">
                  <c:v>2700</c:v>
                </c:pt>
                <c:pt idx="14">
                  <c:v>3000</c:v>
                </c:pt>
              </c:numCache>
            </c:numRef>
          </c:xVal>
          <c:yVal>
            <c:numRef>
              <c:f>'Tuulivoimamelu '!$M$17:$M$31</c:f>
              <c:numCache>
                <c:formatCode>0.0</c:formatCode>
                <c:ptCount val="15"/>
                <c:pt idx="0">
                  <c:v>80.400000000000006</c:v>
                </c:pt>
                <c:pt idx="1">
                  <c:v>74.818275394220578</c:v>
                </c:pt>
                <c:pt idx="2">
                  <c:v>70.371593494872101</c:v>
                </c:pt>
                <c:pt idx="3">
                  <c:v>67.439649077731772</c:v>
                </c:pt>
                <c:pt idx="4">
                  <c:v>65.247597206458266</c:v>
                </c:pt>
                <c:pt idx="5">
                  <c:v>63.495599591962666</c:v>
                </c:pt>
                <c:pt idx="6">
                  <c:v>62.035727561651022</c:v>
                </c:pt>
                <c:pt idx="7">
                  <c:v>60.784023594537089</c:v>
                </c:pt>
                <c:pt idx="8">
                  <c:v>59.688221180756933</c:v>
                </c:pt>
                <c:pt idx="9">
                  <c:v>58.713563086543431</c:v>
                </c:pt>
                <c:pt idx="10">
                  <c:v>57.835760233898405</c:v>
                </c:pt>
                <c:pt idx="11">
                  <c:v>57.037168820623343</c:v>
                </c:pt>
                <c:pt idx="12">
                  <c:v>56.304567465478534</c:v>
                </c:pt>
                <c:pt idx="13">
                  <c:v>55.627792482289713</c:v>
                </c:pt>
                <c:pt idx="14">
                  <c:v>54.700293355725634</c:v>
                </c:pt>
              </c:numCache>
            </c:numRef>
          </c:yVal>
        </c:ser>
        <c:ser>
          <c:idx val="1"/>
          <c:order val="1"/>
          <c:tx>
            <c:v>dBA</c:v>
          </c:tx>
          <c:spPr>
            <a:ln w="41275"/>
          </c:spPr>
          <c:marker>
            <c:symbol val="none"/>
          </c:marker>
          <c:xVal>
            <c:numRef>
              <c:f>'Tuulivoimamelu '!$L$17:$L$31</c:f>
              <c:numCache>
                <c:formatCode>General</c:formatCode>
                <c:ptCount val="15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700</c:v>
                </c:pt>
                <c:pt idx="4">
                  <c:v>900</c:v>
                </c:pt>
                <c:pt idx="5">
                  <c:v>1100</c:v>
                </c:pt>
                <c:pt idx="6">
                  <c:v>1300</c:v>
                </c:pt>
                <c:pt idx="7">
                  <c:v>1500</c:v>
                </c:pt>
                <c:pt idx="8">
                  <c:v>1700</c:v>
                </c:pt>
                <c:pt idx="9">
                  <c:v>1900</c:v>
                </c:pt>
                <c:pt idx="10">
                  <c:v>2100</c:v>
                </c:pt>
                <c:pt idx="11">
                  <c:v>2300</c:v>
                </c:pt>
                <c:pt idx="12">
                  <c:v>2500</c:v>
                </c:pt>
                <c:pt idx="13">
                  <c:v>2700</c:v>
                </c:pt>
                <c:pt idx="14">
                  <c:v>3000</c:v>
                </c:pt>
              </c:numCache>
            </c:numRef>
          </c:xVal>
          <c:yVal>
            <c:numRef>
              <c:f>'Tuulivoimamelu '!$N$17:$N$31</c:f>
              <c:numCache>
                <c:formatCode>0.0</c:formatCode>
                <c:ptCount val="15"/>
                <c:pt idx="0">
                  <c:v>54.7</c:v>
                </c:pt>
                <c:pt idx="1">
                  <c:v>48.24270858987817</c:v>
                </c:pt>
                <c:pt idx="2">
                  <c:v>43.197478036667356</c:v>
                </c:pt>
                <c:pt idx="3">
                  <c:v>39.768614158449147</c:v>
                </c:pt>
                <c:pt idx="4">
                  <c:v>37.148989893772544</c:v>
                </c:pt>
                <c:pt idx="5">
                  <c:v>35.022266143828126</c:v>
                </c:pt>
                <c:pt idx="6">
                  <c:v>33.229767062858066</c:v>
                </c:pt>
                <c:pt idx="7">
                  <c:v>31.679673110430929</c:v>
                </c:pt>
                <c:pt idx="8">
                  <c:v>30.313736573173898</c:v>
                </c:pt>
                <c:pt idx="9">
                  <c:v>29.092589575833678</c:v>
                </c:pt>
                <c:pt idx="10">
                  <c:v>27.988356844891324</c:v>
                </c:pt>
                <c:pt idx="11">
                  <c:v>26.980573279840346</c:v>
                </c:pt>
                <c:pt idx="12">
                  <c:v>26.053765046815336</c:v>
                </c:pt>
                <c:pt idx="13">
                  <c:v>25.195939226698222</c:v>
                </c:pt>
                <c:pt idx="14">
                  <c:v>24.018290687676807</c:v>
                </c:pt>
              </c:numCache>
            </c:numRef>
          </c:yVal>
        </c:ser>
        <c:ser>
          <c:idx val="2"/>
          <c:order val="2"/>
          <c:tx>
            <c:v>dBC</c:v>
          </c:tx>
          <c:marker>
            <c:symbol val="none"/>
          </c:marker>
          <c:xVal>
            <c:numRef>
              <c:f>'Tuulivoimamelu '!$L$17:$L$31</c:f>
              <c:numCache>
                <c:formatCode>General</c:formatCode>
                <c:ptCount val="15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700</c:v>
                </c:pt>
                <c:pt idx="4">
                  <c:v>900</c:v>
                </c:pt>
                <c:pt idx="5">
                  <c:v>1100</c:v>
                </c:pt>
                <c:pt idx="6">
                  <c:v>1300</c:v>
                </c:pt>
                <c:pt idx="7">
                  <c:v>1500</c:v>
                </c:pt>
                <c:pt idx="8">
                  <c:v>1700</c:v>
                </c:pt>
                <c:pt idx="9">
                  <c:v>1900</c:v>
                </c:pt>
                <c:pt idx="10">
                  <c:v>2100</c:v>
                </c:pt>
                <c:pt idx="11">
                  <c:v>2300</c:v>
                </c:pt>
                <c:pt idx="12">
                  <c:v>2500</c:v>
                </c:pt>
                <c:pt idx="13">
                  <c:v>2700</c:v>
                </c:pt>
                <c:pt idx="14">
                  <c:v>3000</c:v>
                </c:pt>
              </c:numCache>
            </c:numRef>
          </c:xVal>
          <c:yVal>
            <c:numRef>
              <c:f>'Tuulivoimamelu '!$O$17:$O$31</c:f>
              <c:numCache>
                <c:formatCode>0.0</c:formatCode>
                <c:ptCount val="15"/>
                <c:pt idx="0">
                  <c:v>76.099999999999994</c:v>
                </c:pt>
                <c:pt idx="1">
                  <c:v>70.422352891699546</c:v>
                </c:pt>
                <c:pt idx="2">
                  <c:v>65.968280867802321</c:v>
                </c:pt>
                <c:pt idx="3">
                  <c:v>63.029441469612884</c:v>
                </c:pt>
                <c:pt idx="4">
                  <c:v>60.830837365211543</c:v>
                </c:pt>
                <c:pt idx="5">
                  <c:v>59.072547352654453</c:v>
                </c:pt>
                <c:pt idx="6">
                  <c:v>57.606589731968711</c:v>
                </c:pt>
                <c:pt idx="7">
                  <c:v>56.348970292178684</c:v>
                </c:pt>
                <c:pt idx="8">
                  <c:v>55.247396041181105</c:v>
                </c:pt>
                <c:pt idx="9">
                  <c:v>54.267090052440643</c:v>
                </c:pt>
                <c:pt idx="10">
                  <c:v>53.383748220923806</c:v>
                </c:pt>
                <c:pt idx="11">
                  <c:v>52.579714998663377</c:v>
                </c:pt>
                <c:pt idx="12">
                  <c:v>51.841759615472604</c:v>
                </c:pt>
                <c:pt idx="13">
                  <c:v>51.159710725448797</c:v>
                </c:pt>
                <c:pt idx="14">
                  <c:v>50.224437324190589</c:v>
                </c:pt>
              </c:numCache>
            </c:numRef>
          </c:yVal>
        </c:ser>
        <c:ser>
          <c:idx val="3"/>
          <c:order val="3"/>
          <c:tx>
            <c:v>35 dBA</c:v>
          </c:tx>
          <c:spPr>
            <a:ln w="38100"/>
          </c:spPr>
          <c:marker>
            <c:symbol val="none"/>
          </c:marker>
          <c:xVal>
            <c:numRef>
              <c:f>'Tuulivoimamelu '!$L$17:$L$31</c:f>
              <c:numCache>
                <c:formatCode>General</c:formatCode>
                <c:ptCount val="15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700</c:v>
                </c:pt>
                <c:pt idx="4">
                  <c:v>900</c:v>
                </c:pt>
                <c:pt idx="5">
                  <c:v>1100</c:v>
                </c:pt>
                <c:pt idx="6">
                  <c:v>1300</c:v>
                </c:pt>
                <c:pt idx="7">
                  <c:v>1500</c:v>
                </c:pt>
                <c:pt idx="8">
                  <c:v>1700</c:v>
                </c:pt>
                <c:pt idx="9">
                  <c:v>1900</c:v>
                </c:pt>
                <c:pt idx="10">
                  <c:v>2100</c:v>
                </c:pt>
                <c:pt idx="11">
                  <c:v>2300</c:v>
                </c:pt>
                <c:pt idx="12">
                  <c:v>2500</c:v>
                </c:pt>
                <c:pt idx="13">
                  <c:v>2700</c:v>
                </c:pt>
                <c:pt idx="14">
                  <c:v>3000</c:v>
                </c:pt>
              </c:numCache>
            </c:numRef>
          </c:xVal>
          <c:yVal>
            <c:numRef>
              <c:f>'Tuulivoimamelu '!$P$17:$P$31</c:f>
              <c:numCache>
                <c:formatCode>0.0</c:formatCode>
                <c:ptCount val="15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</c:numCache>
            </c:numRef>
          </c:yVal>
        </c:ser>
        <c:dLbls/>
        <c:axId val="59857920"/>
        <c:axId val="59880192"/>
      </c:scatterChart>
      <c:valAx>
        <c:axId val="59857920"/>
        <c:scaling>
          <c:orientation val="minMax"/>
          <c:max val="3000"/>
        </c:scaling>
        <c:axPos val="b"/>
        <c:majorGridlines/>
        <c:minorGridlines/>
        <c:numFmt formatCode="General" sourceLinked="1"/>
        <c:tickLblPos val="nextTo"/>
        <c:crossAx val="59880192"/>
        <c:crosses val="autoZero"/>
        <c:crossBetween val="midCat"/>
        <c:majorUnit val="500"/>
      </c:valAx>
      <c:valAx>
        <c:axId val="59880192"/>
        <c:scaling>
          <c:orientation val="minMax"/>
          <c:max val="80"/>
          <c:min val="10"/>
        </c:scaling>
        <c:axPos val="l"/>
        <c:majorGridlines/>
        <c:minorGridlines/>
        <c:numFmt formatCode="0.0" sourceLinked="1"/>
        <c:tickLblPos val="nextTo"/>
        <c:crossAx val="59857920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plotArea>
      <c:layout>
        <c:manualLayout>
          <c:layoutTarget val="inner"/>
          <c:xMode val="edge"/>
          <c:yMode val="edge"/>
          <c:x val="5.9899946197459086E-2"/>
          <c:y val="4.7200146397573847E-2"/>
          <c:w val="0.70108792650918883"/>
          <c:h val="0.79822506561679785"/>
        </c:manualLayout>
      </c:layout>
      <c:scatterChart>
        <c:scatterStyle val="smoothMarker"/>
        <c:ser>
          <c:idx val="0"/>
          <c:order val="0"/>
          <c:tx>
            <c:v>Sisämelun yöohje</c:v>
          </c:tx>
          <c:spPr>
            <a:ln w="44450"/>
          </c:spPr>
          <c:marker>
            <c:symbol val="none"/>
          </c:marker>
          <c:xVal>
            <c:numRef>
              <c:f>Sisämelukäyrät!$AE$18:$AE$28</c:f>
              <c:numCache>
                <c:formatCode>General</c:formatCode>
                <c:ptCount val="1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</c:numCache>
            </c:numRef>
          </c:xVal>
          <c:yVal>
            <c:numRef>
              <c:f>Sisämelukäyrät!$AF$18:$AF$28</c:f>
              <c:numCache>
                <c:formatCode>General</c:formatCode>
                <c:ptCount val="11"/>
                <c:pt idx="0">
                  <c:v>74</c:v>
                </c:pt>
                <c:pt idx="1">
                  <c:v>64</c:v>
                </c:pt>
                <c:pt idx="2">
                  <c:v>56</c:v>
                </c:pt>
                <c:pt idx="3">
                  <c:v>49</c:v>
                </c:pt>
                <c:pt idx="4">
                  <c:v>44</c:v>
                </c:pt>
                <c:pt idx="5">
                  <c:v>42</c:v>
                </c:pt>
                <c:pt idx="6">
                  <c:v>40</c:v>
                </c:pt>
                <c:pt idx="7">
                  <c:v>38</c:v>
                </c:pt>
                <c:pt idx="8">
                  <c:v>36</c:v>
                </c:pt>
                <c:pt idx="9">
                  <c:v>34</c:v>
                </c:pt>
                <c:pt idx="10">
                  <c:v>32</c:v>
                </c:pt>
              </c:numCache>
            </c:numRef>
          </c:yVal>
          <c:smooth val="1"/>
        </c:ser>
        <c:ser>
          <c:idx val="1"/>
          <c:order val="1"/>
          <c:tx>
            <c:v>Sisämelun päiväohje</c:v>
          </c:tx>
          <c:spPr>
            <a:ln w="38100"/>
          </c:spPr>
          <c:marker>
            <c:symbol val="none"/>
          </c:marker>
          <c:xVal>
            <c:numRef>
              <c:f>Sisämelukäyrät!$AE$39:$AE$49</c:f>
              <c:numCache>
                <c:formatCode>General</c:formatCode>
                <c:ptCount val="1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</c:numCache>
            </c:numRef>
          </c:xVal>
          <c:yVal>
            <c:numRef>
              <c:f>Sisämelukäyrät!$AF$39:$AF$49</c:f>
              <c:numCache>
                <c:formatCode>General</c:formatCode>
                <c:ptCount val="11"/>
                <c:pt idx="0">
                  <c:v>79</c:v>
                </c:pt>
                <c:pt idx="1">
                  <c:v>69</c:v>
                </c:pt>
                <c:pt idx="2">
                  <c:v>61</c:v>
                </c:pt>
                <c:pt idx="3">
                  <c:v>54</c:v>
                </c:pt>
                <c:pt idx="4">
                  <c:v>49</c:v>
                </c:pt>
                <c:pt idx="5">
                  <c:v>47</c:v>
                </c:pt>
                <c:pt idx="6">
                  <c:v>45</c:v>
                </c:pt>
                <c:pt idx="7">
                  <c:v>43</c:v>
                </c:pt>
                <c:pt idx="8">
                  <c:v>41</c:v>
                </c:pt>
                <c:pt idx="9">
                  <c:v>39</c:v>
                </c:pt>
                <c:pt idx="10">
                  <c:v>37</c:v>
                </c:pt>
              </c:numCache>
            </c:numRef>
          </c:yVal>
          <c:smooth val="1"/>
        </c:ser>
        <c:ser>
          <c:idx val="2"/>
          <c:order val="2"/>
          <c:tx>
            <c:v>700 m</c:v>
          </c:tx>
          <c:spPr>
            <a:ln w="22225"/>
          </c:spPr>
          <c:marker>
            <c:symbol val="none"/>
          </c:marker>
          <c:xVal>
            <c:numRef>
              <c:f>'Tuulivoimamelu '!$C$70:$C$75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'!$N$70:$N$75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900 m</c:v>
          </c:tx>
          <c:spPr>
            <a:ln w="22225"/>
          </c:spPr>
          <c:marker>
            <c:symbol val="none"/>
          </c:marker>
          <c:xVal>
            <c:numRef>
              <c:f>'Tuulivoimamelu '!$C$86:$C$91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'!$N$86:$N$91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1100 m</c:v>
          </c:tx>
          <c:spPr>
            <a:ln w="22225"/>
          </c:spPr>
          <c:marker>
            <c:symbol val="none"/>
          </c:marker>
          <c:xVal>
            <c:numRef>
              <c:f>'Tuulivoimamelu '!$C$102:$C$107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'!$N$102:$N$107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1300 m</c:v>
          </c:tx>
          <c:spPr>
            <a:ln w="22225"/>
          </c:spPr>
          <c:marker>
            <c:symbol val="none"/>
          </c:marker>
          <c:xVal>
            <c:numRef>
              <c:f>'Tuulivoimamelu '!$C$117:$C$122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'!$N$117:$N$122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v>1500 m</c:v>
          </c:tx>
          <c:spPr>
            <a:ln w="22225"/>
          </c:spPr>
          <c:marker>
            <c:symbol val="none"/>
          </c:marker>
          <c:xVal>
            <c:numRef>
              <c:f>'Tuulivoimamelu '!$C$133:$C$138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'!$N$133:$N$138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1700 m</c:v>
          </c:tx>
          <c:spPr>
            <a:ln w="22225"/>
          </c:spPr>
          <c:marker>
            <c:symbol val="none"/>
          </c:marker>
          <c:xVal>
            <c:numRef>
              <c:f>'Tuulivoimamelu '!$C$149:$C$154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'!$N$149:$N$154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v>1900 m</c:v>
          </c:tx>
          <c:spPr>
            <a:ln w="22225"/>
          </c:spPr>
          <c:marker>
            <c:symbol val="none"/>
          </c:marker>
          <c:xVal>
            <c:numRef>
              <c:f>'Tuulivoimamelu '!$C$165:$C$170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'!$N$165:$N$170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2100 m</c:v>
          </c:tx>
          <c:spPr>
            <a:ln w="22225"/>
          </c:spPr>
          <c:marker>
            <c:symbol val="none"/>
          </c:marker>
          <c:xVal>
            <c:numRef>
              <c:f>'Tuulivoimamelu '!$C$181:$C$186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'!$N$181:$N$186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0"/>
          <c:order val="10"/>
          <c:tx>
            <c:v>2300 m</c:v>
          </c:tx>
          <c:spPr>
            <a:ln w="22225"/>
          </c:spPr>
          <c:marker>
            <c:symbol val="none"/>
          </c:marker>
          <c:xVal>
            <c:numRef>
              <c:f>'Tuulivoimamelu '!$C$197:$C$202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'!$N$197:$N$202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1"/>
          <c:order val="11"/>
          <c:tx>
            <c:v>2500 m</c:v>
          </c:tx>
          <c:marker>
            <c:symbol val="none"/>
          </c:marker>
          <c:xVal>
            <c:numRef>
              <c:f>'Tuulivoimamelu '!$C$213:$C$218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'!$N$213:$N$218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2"/>
          <c:order val="12"/>
          <c:tx>
            <c:v>2700 m</c:v>
          </c:tx>
          <c:marker>
            <c:symbol val="none"/>
          </c:marker>
          <c:xVal>
            <c:numRef>
              <c:f>'Tuulivoimamelu '!$C$229:$C$234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'!$N$229:$N$234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3"/>
          <c:order val="13"/>
          <c:tx>
            <c:v>3000 m</c:v>
          </c:tx>
          <c:marker>
            <c:symbol val="none"/>
          </c:marker>
          <c:xVal>
            <c:numRef>
              <c:f>'Tuulivoimamelu '!$C$244:$C$249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'!$N$244:$N$249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4"/>
          <c:order val="14"/>
          <c:tx>
            <c:v>annettu etäisyys</c:v>
          </c:tx>
          <c:marker>
            <c:symbol val="none"/>
          </c:marker>
          <c:xVal>
            <c:numRef>
              <c:f>'Tuulivoimamelu '!$C$261:$C$266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'!$N$261:$N$266</c:f>
              <c:numCache>
                <c:formatCode>0.0</c:formatCode>
                <c:ptCount val="6"/>
                <c:pt idx="0">
                  <c:v>55.054251786342917</c:v>
                </c:pt>
                <c:pt idx="1">
                  <c:v>50.366251786342929</c:v>
                </c:pt>
                <c:pt idx="2">
                  <c:v>48.300251786342926</c:v>
                </c:pt>
                <c:pt idx="3">
                  <c:v>46.756251786342929</c:v>
                </c:pt>
                <c:pt idx="4">
                  <c:v>39.096251786342933</c:v>
                </c:pt>
                <c:pt idx="5">
                  <c:v>28.476251786342914</c:v>
                </c:pt>
              </c:numCache>
            </c:numRef>
          </c:yVal>
          <c:smooth val="1"/>
        </c:ser>
        <c:dLbls/>
        <c:axId val="60101760"/>
        <c:axId val="60103296"/>
      </c:scatterChart>
      <c:valAx>
        <c:axId val="60101760"/>
        <c:scaling>
          <c:orientation val="minMax"/>
          <c:max val="200"/>
          <c:min val="20"/>
        </c:scaling>
        <c:axPos val="b"/>
        <c:majorGridlines/>
        <c:numFmt formatCode="General" sourceLinked="1"/>
        <c:tickLblPos val="nextTo"/>
        <c:crossAx val="60103296"/>
        <c:crosses val="autoZero"/>
        <c:crossBetween val="midCat"/>
        <c:majorUnit val="20"/>
      </c:valAx>
      <c:valAx>
        <c:axId val="60103296"/>
        <c:scaling>
          <c:orientation val="minMax"/>
          <c:max val="80"/>
          <c:min val="20"/>
        </c:scaling>
        <c:axPos val="l"/>
        <c:majorGridlines/>
        <c:minorGridlines/>
        <c:numFmt formatCode="General" sourceLinked="1"/>
        <c:tickLblPos val="nextTo"/>
        <c:crossAx val="60101760"/>
        <c:crosses val="autoZero"/>
        <c:crossBetween val="midCat"/>
        <c:minorUnit val="5"/>
      </c:valAx>
    </c:plotArea>
    <c:legend>
      <c:legendPos val="r"/>
      <c:layout/>
    </c:legend>
    <c:plotVisOnly val="1"/>
    <c:dispBlanksAs val="gap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Sisämelun yöohje 29,7 dBA ja päiväohje 34,7 dBA </a:t>
            </a:r>
          </a:p>
        </c:rich>
      </c:tx>
      <c:layout>
        <c:manualLayout>
          <c:xMode val="edge"/>
          <c:yMode val="edge"/>
          <c:x val="0.1472485128270962"/>
          <c:y val="8.2108449679084247E-2"/>
        </c:manualLayout>
      </c:layout>
    </c:title>
    <c:plotArea>
      <c:layout>
        <c:manualLayout>
          <c:layoutTarget val="inner"/>
          <c:xMode val="edge"/>
          <c:yMode val="edge"/>
          <c:x val="4.5929471471667697E-2"/>
          <c:y val="2.9239362668560826E-2"/>
          <c:w val="0.75563196621617079"/>
          <c:h val="0.85021060828934869"/>
        </c:manualLayout>
      </c:layout>
      <c:scatterChart>
        <c:scatterStyle val="smoothMarker"/>
        <c:ser>
          <c:idx val="0"/>
          <c:order val="0"/>
          <c:tx>
            <c:v>Sisämelun yöohje</c:v>
          </c:tx>
          <c:spPr>
            <a:ln w="38100"/>
          </c:spPr>
          <c:marker>
            <c:symbol val="none"/>
          </c:marker>
          <c:xVal>
            <c:numRef>
              <c:f>Sisämelukäyrät!$AE$18:$AE$28</c:f>
              <c:numCache>
                <c:formatCode>General</c:formatCode>
                <c:ptCount val="1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</c:numCache>
            </c:numRef>
          </c:xVal>
          <c:yVal>
            <c:numRef>
              <c:f>Sisämelukäyrät!$AG$18:$AG$28</c:f>
              <c:numCache>
                <c:formatCode>General</c:formatCode>
                <c:ptCount val="11"/>
                <c:pt idx="0">
                  <c:v>23.6</c:v>
                </c:pt>
                <c:pt idx="1">
                  <c:v>19.200000000000003</c:v>
                </c:pt>
                <c:pt idx="2">
                  <c:v>16.5</c:v>
                </c:pt>
                <c:pt idx="3">
                  <c:v>14.399999999999999</c:v>
                </c:pt>
                <c:pt idx="4">
                  <c:v>13.8</c:v>
                </c:pt>
                <c:pt idx="5">
                  <c:v>15.8</c:v>
                </c:pt>
                <c:pt idx="6">
                  <c:v>17.600000000000001</c:v>
                </c:pt>
                <c:pt idx="7">
                  <c:v>18.899999999999999</c:v>
                </c:pt>
                <c:pt idx="8">
                  <c:v>19.8</c:v>
                </c:pt>
                <c:pt idx="9">
                  <c:v>20.8</c:v>
                </c:pt>
                <c:pt idx="10">
                  <c:v>21.2</c:v>
                </c:pt>
              </c:numCache>
            </c:numRef>
          </c:yVal>
          <c:smooth val="1"/>
        </c:ser>
        <c:ser>
          <c:idx val="1"/>
          <c:order val="1"/>
          <c:tx>
            <c:v>Sisämelun päiväohje</c:v>
          </c:tx>
          <c:spPr>
            <a:ln w="38100"/>
          </c:spPr>
          <c:marker>
            <c:symbol val="none"/>
          </c:marker>
          <c:xVal>
            <c:numRef>
              <c:f>Sisämelukäyrät!$AE$39:$AE$49</c:f>
              <c:numCache>
                <c:formatCode>General</c:formatCode>
                <c:ptCount val="1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</c:numCache>
            </c:numRef>
          </c:xVal>
          <c:yVal>
            <c:numRef>
              <c:f>Sisämelukäyrät!$AG$39:$AG$49</c:f>
              <c:numCache>
                <c:formatCode>General</c:formatCode>
                <c:ptCount val="11"/>
                <c:pt idx="0">
                  <c:v>28.6</c:v>
                </c:pt>
                <c:pt idx="1">
                  <c:v>24.200000000000003</c:v>
                </c:pt>
                <c:pt idx="2">
                  <c:v>21.5</c:v>
                </c:pt>
                <c:pt idx="3">
                  <c:v>19.399999999999999</c:v>
                </c:pt>
                <c:pt idx="4">
                  <c:v>18.8</c:v>
                </c:pt>
                <c:pt idx="5">
                  <c:v>20.8</c:v>
                </c:pt>
                <c:pt idx="6">
                  <c:v>22.6</c:v>
                </c:pt>
                <c:pt idx="7">
                  <c:v>23.9</c:v>
                </c:pt>
                <c:pt idx="8">
                  <c:v>24.8</c:v>
                </c:pt>
                <c:pt idx="9">
                  <c:v>25.8</c:v>
                </c:pt>
                <c:pt idx="10">
                  <c:v>26.2</c:v>
                </c:pt>
              </c:numCache>
            </c:numRef>
          </c:yVal>
          <c:smooth val="1"/>
        </c:ser>
        <c:ser>
          <c:idx val="2"/>
          <c:order val="2"/>
          <c:tx>
            <c:v>700 m</c:v>
          </c:tx>
          <c:spPr>
            <a:ln w="22225"/>
          </c:spPr>
          <c:marker>
            <c:symbol val="none"/>
          </c:marker>
          <c:xVal>
            <c:numRef>
              <c:f>'Tuulivoimamelu '!$C$70:$C$75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'!$U$70:$U$75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7"/>
          <c:order val="3"/>
          <c:tx>
            <c:v>900 m</c:v>
          </c:tx>
          <c:marker>
            <c:symbol val="none"/>
          </c:marker>
          <c:xVal>
            <c:numRef>
              <c:f>'Tuulivoimamelu '!$C$86:$C$91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'!$U$86:$U$91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8"/>
          <c:order val="4"/>
          <c:tx>
            <c:v>1100 m</c:v>
          </c:tx>
          <c:marker>
            <c:symbol val="none"/>
          </c:marker>
          <c:xVal>
            <c:numRef>
              <c:f>'Tuulivoimamelu '!$C$102:$C$107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'!$U$102:$U$107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0"/>
          <c:order val="5"/>
          <c:tx>
            <c:v>1300 m</c:v>
          </c:tx>
          <c:marker>
            <c:symbol val="none"/>
          </c:marker>
          <c:xVal>
            <c:numRef>
              <c:f>'Tuulivoimamelu '!$C$117:$C$122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'!$U$117:$U$122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3"/>
          <c:order val="6"/>
          <c:tx>
            <c:v>1500 m</c:v>
          </c:tx>
          <c:spPr>
            <a:ln w="22225"/>
          </c:spPr>
          <c:marker>
            <c:symbol val="none"/>
          </c:marker>
          <c:xVal>
            <c:numRef>
              <c:f>'Tuulivoimamelu '!$C$133:$C$138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'!$U$133:$U$139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1"/>
        </c:ser>
        <c:ser>
          <c:idx val="9"/>
          <c:order val="7"/>
          <c:tx>
            <c:v>1700 m</c:v>
          </c:tx>
          <c:marker>
            <c:symbol val="none"/>
          </c:marker>
          <c:xVal>
            <c:numRef>
              <c:f>'Tuulivoimamelu '!$C$149:$C$154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'!$U$149:$U$154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1"/>
          <c:order val="8"/>
          <c:tx>
            <c:v>1900 m</c:v>
          </c:tx>
          <c:marker>
            <c:symbol val="none"/>
          </c:marker>
          <c:xVal>
            <c:numRef>
              <c:f>'Tuulivoimamelu '!$C$165:$C$170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'!$U$165:$U$170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2"/>
          <c:order val="9"/>
          <c:tx>
            <c:v>2100 m</c:v>
          </c:tx>
          <c:marker>
            <c:symbol val="none"/>
          </c:marker>
          <c:xVal>
            <c:numRef>
              <c:f>'Tuulivoimamelu '!$C$181:$C$186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'!$U$181:$U$186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4"/>
          <c:order val="10"/>
          <c:tx>
            <c:v>2300 m</c:v>
          </c:tx>
          <c:spPr>
            <a:ln w="22225"/>
          </c:spPr>
          <c:marker>
            <c:symbol val="none"/>
          </c:marker>
          <c:xVal>
            <c:numRef>
              <c:f>'Tuulivoimamelu '!$C$197:$C$202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'!$U$197:$U$202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3"/>
          <c:order val="11"/>
          <c:tx>
            <c:v>2500 m</c:v>
          </c:tx>
          <c:marker>
            <c:symbol val="none"/>
          </c:marker>
          <c:xVal>
            <c:numRef>
              <c:f>'Tuulivoimamelu '!$C$213:$C$218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'!$U$213:$U$218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14"/>
          <c:order val="12"/>
          <c:tx>
            <c:v>2700 m</c:v>
          </c:tx>
          <c:marker>
            <c:symbol val="none"/>
          </c:marker>
          <c:xVal>
            <c:numRef>
              <c:f>'Tuulivoimamelu '!$C$229:$C$234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'!$U$229:$U$234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6"/>
          <c:order val="13"/>
          <c:tx>
            <c:v>3000 m</c:v>
          </c:tx>
          <c:marker>
            <c:symbol val="none"/>
          </c:marker>
          <c:xVal>
            <c:numRef>
              <c:f>'Tuulivoimamelu '!$C$244:$C$249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'!$U$244:$U$249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ser>
          <c:idx val="5"/>
          <c:order val="14"/>
          <c:tx>
            <c:v>annettu metrimäärä</c:v>
          </c:tx>
          <c:marker>
            <c:symbol val="none"/>
          </c:marker>
          <c:xVal>
            <c:numRef>
              <c:f>'Tuulivoimamelu '!$C$261:$C$266</c:f>
              <c:numCache>
                <c:formatCode>General</c:formatCode>
                <c:ptCount val="6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63</c:v>
                </c:pt>
                <c:pt idx="4">
                  <c:v>125</c:v>
                </c:pt>
                <c:pt idx="5">
                  <c:v>250</c:v>
                </c:pt>
              </c:numCache>
            </c:numRef>
          </c:xVal>
          <c:yVal>
            <c:numRef>
              <c:f>'Tuulivoimamelu '!$U$261:$U$266</c:f>
              <c:numCache>
                <c:formatCode>0.0</c:formatCode>
                <c:ptCount val="6"/>
                <c:pt idx="0">
                  <c:v>4.6542517863429183</c:v>
                </c:pt>
                <c:pt idx="1">
                  <c:v>5.5662517863429315</c:v>
                </c:pt>
                <c:pt idx="2">
                  <c:v>8.8002517863429262</c:v>
                </c:pt>
                <c:pt idx="3">
                  <c:v>20.55625178634293</c:v>
                </c:pt>
                <c:pt idx="4">
                  <c:v>22.896251786342933</c:v>
                </c:pt>
                <c:pt idx="5">
                  <c:v>19.876251786342912</c:v>
                </c:pt>
              </c:numCache>
            </c:numRef>
          </c:yVal>
          <c:smooth val="1"/>
        </c:ser>
        <c:dLbls/>
        <c:axId val="60252928"/>
        <c:axId val="60254464"/>
      </c:scatterChart>
      <c:valAx>
        <c:axId val="60252928"/>
        <c:scaling>
          <c:orientation val="minMax"/>
          <c:max val="200"/>
          <c:min val="20"/>
        </c:scaling>
        <c:axPos val="b"/>
        <c:majorGridlines/>
        <c:numFmt formatCode="General" sourceLinked="1"/>
        <c:minorTickMark val="in"/>
        <c:tickLblPos val="nextTo"/>
        <c:txPr>
          <a:bodyPr/>
          <a:lstStyle/>
          <a:p>
            <a:pPr>
              <a:defRPr sz="1400" baseline="0"/>
            </a:pPr>
            <a:endParaRPr lang="fi-FI"/>
          </a:p>
        </c:txPr>
        <c:crossAx val="60254464"/>
        <c:crosses val="autoZero"/>
        <c:crossBetween val="midCat"/>
      </c:valAx>
      <c:valAx>
        <c:axId val="60254464"/>
        <c:scaling>
          <c:orientation val="minMax"/>
          <c:max val="36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400" baseline="0"/>
            </a:pPr>
            <a:endParaRPr lang="fi-FI"/>
          </a:p>
        </c:txPr>
        <c:crossAx val="60252928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3723988414857653"/>
          <c:y val="8.5595742839837952E-2"/>
          <c:w val="0.16012840613632667"/>
          <c:h val="0.30858213968987702"/>
        </c:manualLayout>
      </c:layout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plotArea>
      <c:layout/>
      <c:scatterChart>
        <c:scatterStyle val="lineMarker"/>
        <c:ser>
          <c:idx val="0"/>
          <c:order val="0"/>
          <c:tx>
            <c:v>dBlin</c:v>
          </c:tx>
          <c:marker>
            <c:symbol val="none"/>
          </c:marker>
          <c:xVal>
            <c:numRef>
              <c:f>'Tuulivoimamelu '!$L$17:$L$31</c:f>
              <c:numCache>
                <c:formatCode>General</c:formatCode>
                <c:ptCount val="15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700</c:v>
                </c:pt>
                <c:pt idx="4">
                  <c:v>900</c:v>
                </c:pt>
                <c:pt idx="5">
                  <c:v>1100</c:v>
                </c:pt>
                <c:pt idx="6">
                  <c:v>1300</c:v>
                </c:pt>
                <c:pt idx="7">
                  <c:v>1500</c:v>
                </c:pt>
                <c:pt idx="8">
                  <c:v>1700</c:v>
                </c:pt>
                <c:pt idx="9">
                  <c:v>1900</c:v>
                </c:pt>
                <c:pt idx="10">
                  <c:v>2100</c:v>
                </c:pt>
                <c:pt idx="11">
                  <c:v>2300</c:v>
                </c:pt>
                <c:pt idx="12">
                  <c:v>2500</c:v>
                </c:pt>
                <c:pt idx="13">
                  <c:v>2700</c:v>
                </c:pt>
                <c:pt idx="14">
                  <c:v>3000</c:v>
                </c:pt>
              </c:numCache>
            </c:numRef>
          </c:xVal>
          <c:yVal>
            <c:numRef>
              <c:f>'Tuulivoimamelu '!$M$17:$M$31</c:f>
              <c:numCache>
                <c:formatCode>0.0</c:formatCode>
                <c:ptCount val="15"/>
                <c:pt idx="0">
                  <c:v>80.400000000000006</c:v>
                </c:pt>
                <c:pt idx="1">
                  <c:v>74.818275394220578</c:v>
                </c:pt>
                <c:pt idx="2">
                  <c:v>70.371593494872101</c:v>
                </c:pt>
                <c:pt idx="3">
                  <c:v>67.439649077731772</c:v>
                </c:pt>
                <c:pt idx="4">
                  <c:v>65.247597206458266</c:v>
                </c:pt>
                <c:pt idx="5">
                  <c:v>63.495599591962666</c:v>
                </c:pt>
                <c:pt idx="6">
                  <c:v>62.035727561651022</c:v>
                </c:pt>
                <c:pt idx="7">
                  <c:v>60.784023594537089</c:v>
                </c:pt>
                <c:pt idx="8">
                  <c:v>59.688221180756933</c:v>
                </c:pt>
                <c:pt idx="9">
                  <c:v>58.713563086543431</c:v>
                </c:pt>
                <c:pt idx="10">
                  <c:v>57.835760233898405</c:v>
                </c:pt>
                <c:pt idx="11">
                  <c:v>57.037168820623343</c:v>
                </c:pt>
                <c:pt idx="12">
                  <c:v>56.304567465478534</c:v>
                </c:pt>
                <c:pt idx="13">
                  <c:v>55.627792482289713</c:v>
                </c:pt>
                <c:pt idx="14">
                  <c:v>54.700293355725634</c:v>
                </c:pt>
              </c:numCache>
            </c:numRef>
          </c:yVal>
        </c:ser>
        <c:ser>
          <c:idx val="1"/>
          <c:order val="1"/>
          <c:tx>
            <c:v>dBA</c:v>
          </c:tx>
          <c:marker>
            <c:symbol val="none"/>
          </c:marker>
          <c:xVal>
            <c:numRef>
              <c:f>'Tuulivoimamelu '!$L$17:$L$31</c:f>
              <c:numCache>
                <c:formatCode>General</c:formatCode>
                <c:ptCount val="15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700</c:v>
                </c:pt>
                <c:pt idx="4">
                  <c:v>900</c:v>
                </c:pt>
                <c:pt idx="5">
                  <c:v>1100</c:v>
                </c:pt>
                <c:pt idx="6">
                  <c:v>1300</c:v>
                </c:pt>
                <c:pt idx="7">
                  <c:v>1500</c:v>
                </c:pt>
                <c:pt idx="8">
                  <c:v>1700</c:v>
                </c:pt>
                <c:pt idx="9">
                  <c:v>1900</c:v>
                </c:pt>
                <c:pt idx="10">
                  <c:v>2100</c:v>
                </c:pt>
                <c:pt idx="11">
                  <c:v>2300</c:v>
                </c:pt>
                <c:pt idx="12">
                  <c:v>2500</c:v>
                </c:pt>
                <c:pt idx="13">
                  <c:v>2700</c:v>
                </c:pt>
                <c:pt idx="14">
                  <c:v>3000</c:v>
                </c:pt>
              </c:numCache>
            </c:numRef>
          </c:xVal>
          <c:yVal>
            <c:numRef>
              <c:f>'Tuulivoimamelu '!$N$17:$N$31</c:f>
              <c:numCache>
                <c:formatCode>0.0</c:formatCode>
                <c:ptCount val="15"/>
                <c:pt idx="0">
                  <c:v>54.7</c:v>
                </c:pt>
                <c:pt idx="1">
                  <c:v>48.24270858987817</c:v>
                </c:pt>
                <c:pt idx="2">
                  <c:v>43.197478036667356</c:v>
                </c:pt>
                <c:pt idx="3">
                  <c:v>39.768614158449147</c:v>
                </c:pt>
                <c:pt idx="4">
                  <c:v>37.148989893772544</c:v>
                </c:pt>
                <c:pt idx="5">
                  <c:v>35.022266143828126</c:v>
                </c:pt>
                <c:pt idx="6">
                  <c:v>33.229767062858066</c:v>
                </c:pt>
                <c:pt idx="7">
                  <c:v>31.679673110430929</c:v>
                </c:pt>
                <c:pt idx="8">
                  <c:v>30.313736573173898</c:v>
                </c:pt>
                <c:pt idx="9">
                  <c:v>29.092589575833678</c:v>
                </c:pt>
                <c:pt idx="10">
                  <c:v>27.988356844891324</c:v>
                </c:pt>
                <c:pt idx="11">
                  <c:v>26.980573279840346</c:v>
                </c:pt>
                <c:pt idx="12">
                  <c:v>26.053765046815336</c:v>
                </c:pt>
                <c:pt idx="13">
                  <c:v>25.195939226698222</c:v>
                </c:pt>
                <c:pt idx="14">
                  <c:v>24.018290687676807</c:v>
                </c:pt>
              </c:numCache>
            </c:numRef>
          </c:yVal>
        </c:ser>
        <c:ser>
          <c:idx val="2"/>
          <c:order val="2"/>
          <c:tx>
            <c:v>dBC</c:v>
          </c:tx>
          <c:marker>
            <c:symbol val="none"/>
          </c:marker>
          <c:xVal>
            <c:numRef>
              <c:f>'Tuulivoimamelu '!$L$17:$L$31</c:f>
              <c:numCache>
                <c:formatCode>General</c:formatCode>
                <c:ptCount val="15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700</c:v>
                </c:pt>
                <c:pt idx="4">
                  <c:v>900</c:v>
                </c:pt>
                <c:pt idx="5">
                  <c:v>1100</c:v>
                </c:pt>
                <c:pt idx="6">
                  <c:v>1300</c:v>
                </c:pt>
                <c:pt idx="7">
                  <c:v>1500</c:v>
                </c:pt>
                <c:pt idx="8">
                  <c:v>1700</c:v>
                </c:pt>
                <c:pt idx="9">
                  <c:v>1900</c:v>
                </c:pt>
                <c:pt idx="10">
                  <c:v>2100</c:v>
                </c:pt>
                <c:pt idx="11">
                  <c:v>2300</c:v>
                </c:pt>
                <c:pt idx="12">
                  <c:v>2500</c:v>
                </c:pt>
                <c:pt idx="13">
                  <c:v>2700</c:v>
                </c:pt>
                <c:pt idx="14">
                  <c:v>3000</c:v>
                </c:pt>
              </c:numCache>
            </c:numRef>
          </c:xVal>
          <c:yVal>
            <c:numRef>
              <c:f>'Tuulivoimamelu '!$O$17:$O$31</c:f>
              <c:numCache>
                <c:formatCode>0.0</c:formatCode>
                <c:ptCount val="15"/>
                <c:pt idx="0">
                  <c:v>76.099999999999994</c:v>
                </c:pt>
                <c:pt idx="1">
                  <c:v>70.422352891699546</c:v>
                </c:pt>
                <c:pt idx="2">
                  <c:v>65.968280867802321</c:v>
                </c:pt>
                <c:pt idx="3">
                  <c:v>63.029441469612884</c:v>
                </c:pt>
                <c:pt idx="4">
                  <c:v>60.830837365211543</c:v>
                </c:pt>
                <c:pt idx="5">
                  <c:v>59.072547352654453</c:v>
                </c:pt>
                <c:pt idx="6">
                  <c:v>57.606589731968711</c:v>
                </c:pt>
                <c:pt idx="7">
                  <c:v>56.348970292178684</c:v>
                </c:pt>
                <c:pt idx="8">
                  <c:v>55.247396041181105</c:v>
                </c:pt>
                <c:pt idx="9">
                  <c:v>54.267090052440643</c:v>
                </c:pt>
                <c:pt idx="10">
                  <c:v>53.383748220923806</c:v>
                </c:pt>
                <c:pt idx="11">
                  <c:v>52.579714998663377</c:v>
                </c:pt>
                <c:pt idx="12">
                  <c:v>51.841759615472604</c:v>
                </c:pt>
                <c:pt idx="13">
                  <c:v>51.159710725448797</c:v>
                </c:pt>
                <c:pt idx="14">
                  <c:v>50.224437324190589</c:v>
                </c:pt>
              </c:numCache>
            </c:numRef>
          </c:yVal>
        </c:ser>
        <c:ser>
          <c:idx val="3"/>
          <c:order val="3"/>
          <c:tx>
            <c:v>35 dBA</c:v>
          </c:tx>
          <c:marker>
            <c:symbol val="none"/>
          </c:marker>
          <c:xVal>
            <c:numRef>
              <c:f>'Tuulivoimamelu '!$L$17:$L$31</c:f>
              <c:numCache>
                <c:formatCode>General</c:formatCode>
                <c:ptCount val="15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700</c:v>
                </c:pt>
                <c:pt idx="4">
                  <c:v>900</c:v>
                </c:pt>
                <c:pt idx="5">
                  <c:v>1100</c:v>
                </c:pt>
                <c:pt idx="6">
                  <c:v>1300</c:v>
                </c:pt>
                <c:pt idx="7">
                  <c:v>1500</c:v>
                </c:pt>
                <c:pt idx="8">
                  <c:v>1700</c:v>
                </c:pt>
                <c:pt idx="9">
                  <c:v>1900</c:v>
                </c:pt>
                <c:pt idx="10">
                  <c:v>2100</c:v>
                </c:pt>
                <c:pt idx="11">
                  <c:v>2300</c:v>
                </c:pt>
                <c:pt idx="12">
                  <c:v>2500</c:v>
                </c:pt>
                <c:pt idx="13">
                  <c:v>2700</c:v>
                </c:pt>
                <c:pt idx="14">
                  <c:v>3000</c:v>
                </c:pt>
              </c:numCache>
            </c:numRef>
          </c:xVal>
          <c:yVal>
            <c:numRef>
              <c:f>'Tuulivoimamelu '!$P$17:$P$31</c:f>
              <c:numCache>
                <c:formatCode>0.0</c:formatCode>
                <c:ptCount val="15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</c:numCache>
            </c:numRef>
          </c:yVal>
        </c:ser>
        <c:dLbls/>
        <c:axId val="60323712"/>
        <c:axId val="60325248"/>
      </c:scatterChart>
      <c:valAx>
        <c:axId val="60323712"/>
        <c:scaling>
          <c:orientation val="minMax"/>
          <c:max val="3000"/>
        </c:scaling>
        <c:axPos val="b"/>
        <c:majorGridlines/>
        <c:minorGridlines/>
        <c:numFmt formatCode="General" sourceLinked="1"/>
        <c:tickLblPos val="nextTo"/>
        <c:crossAx val="60325248"/>
        <c:crosses val="autoZero"/>
        <c:crossBetween val="midCat"/>
        <c:majorUnit val="500"/>
      </c:valAx>
      <c:valAx>
        <c:axId val="60325248"/>
        <c:scaling>
          <c:orientation val="minMax"/>
          <c:max val="80"/>
          <c:min val="10"/>
        </c:scaling>
        <c:axPos val="l"/>
        <c:majorGridlines/>
        <c:minorGridlines/>
        <c:numFmt formatCode="0.0" sourceLinked="1"/>
        <c:tickLblPos val="nextTo"/>
        <c:crossAx val="6032371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Sisämelun yöohje 29,7 dBA ja päiväohje 34,7 dBA </a:t>
            </a:r>
          </a:p>
        </c:rich>
      </c:tx>
      <c:layout>
        <c:manualLayout>
          <c:xMode val="edge"/>
          <c:yMode val="edge"/>
          <c:x val="0.14724851282709608"/>
          <c:y val="8.2108449679084247E-2"/>
        </c:manualLayout>
      </c:layout>
    </c:title>
    <c:plotArea>
      <c:layout>
        <c:manualLayout>
          <c:layoutTarget val="inner"/>
          <c:xMode val="edge"/>
          <c:yMode val="edge"/>
          <c:x val="4.5929471471667697E-2"/>
          <c:y val="2.9239362668560809E-2"/>
          <c:w val="0.75563196621617024"/>
          <c:h val="0.85021060828934869"/>
        </c:manualLayout>
      </c:layout>
      <c:scatterChart>
        <c:scatterStyle val="smoothMarker"/>
        <c:ser>
          <c:idx val="0"/>
          <c:order val="0"/>
          <c:tx>
            <c:v>Sisämelun yöohje</c:v>
          </c:tx>
          <c:marker>
            <c:symbol val="none"/>
          </c:marker>
          <c:xVal>
            <c:numRef>
              <c:f>Sisämelukäyrät!$AE$18:$AE$28</c:f>
              <c:numCache>
                <c:formatCode>General</c:formatCode>
                <c:ptCount val="1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</c:numCache>
            </c:numRef>
          </c:xVal>
          <c:yVal>
            <c:numRef>
              <c:f>Sisämelukäyrät!$AG$18:$AG$28</c:f>
              <c:numCache>
                <c:formatCode>General</c:formatCode>
                <c:ptCount val="11"/>
                <c:pt idx="0">
                  <c:v>23.6</c:v>
                </c:pt>
                <c:pt idx="1">
                  <c:v>19.200000000000003</c:v>
                </c:pt>
                <c:pt idx="2">
                  <c:v>16.5</c:v>
                </c:pt>
                <c:pt idx="3">
                  <c:v>14.399999999999999</c:v>
                </c:pt>
                <c:pt idx="4">
                  <c:v>13.8</c:v>
                </c:pt>
                <c:pt idx="5">
                  <c:v>15.8</c:v>
                </c:pt>
                <c:pt idx="6">
                  <c:v>17.600000000000001</c:v>
                </c:pt>
                <c:pt idx="7">
                  <c:v>18.899999999999999</c:v>
                </c:pt>
                <c:pt idx="8">
                  <c:v>19.8</c:v>
                </c:pt>
                <c:pt idx="9">
                  <c:v>20.8</c:v>
                </c:pt>
                <c:pt idx="10">
                  <c:v>21.2</c:v>
                </c:pt>
              </c:numCache>
            </c:numRef>
          </c:yVal>
          <c:smooth val="1"/>
        </c:ser>
        <c:ser>
          <c:idx val="1"/>
          <c:order val="1"/>
          <c:tx>
            <c:v>Sisämelun päiväohje</c:v>
          </c:tx>
          <c:marker>
            <c:symbol val="none"/>
          </c:marker>
          <c:xVal>
            <c:numRef>
              <c:f>Sisämelukäyrät!$AE$39:$AE$49</c:f>
              <c:numCache>
                <c:formatCode>General</c:formatCode>
                <c:ptCount val="1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</c:numCache>
            </c:numRef>
          </c:xVal>
          <c:yVal>
            <c:numRef>
              <c:f>Sisämelukäyrät!$AG$39:$AG$49</c:f>
              <c:numCache>
                <c:formatCode>General</c:formatCode>
                <c:ptCount val="11"/>
                <c:pt idx="0">
                  <c:v>28.6</c:v>
                </c:pt>
                <c:pt idx="1">
                  <c:v>24.200000000000003</c:v>
                </c:pt>
                <c:pt idx="2">
                  <c:v>21.5</c:v>
                </c:pt>
                <c:pt idx="3">
                  <c:v>19.399999999999999</c:v>
                </c:pt>
                <c:pt idx="4">
                  <c:v>18.8</c:v>
                </c:pt>
                <c:pt idx="5">
                  <c:v>20.8</c:v>
                </c:pt>
                <c:pt idx="6">
                  <c:v>22.6</c:v>
                </c:pt>
                <c:pt idx="7">
                  <c:v>23.9</c:v>
                </c:pt>
                <c:pt idx="8">
                  <c:v>24.8</c:v>
                </c:pt>
                <c:pt idx="9">
                  <c:v>25.8</c:v>
                </c:pt>
                <c:pt idx="10">
                  <c:v>26.2</c:v>
                </c:pt>
              </c:numCache>
            </c:numRef>
          </c:yVal>
          <c:smooth val="1"/>
        </c:ser>
        <c:dLbls/>
        <c:axId val="60926208"/>
        <c:axId val="60936192"/>
      </c:scatterChart>
      <c:valAx>
        <c:axId val="60926208"/>
        <c:scaling>
          <c:orientation val="minMax"/>
          <c:max val="200"/>
          <c:min val="20"/>
        </c:scaling>
        <c:axPos val="b"/>
        <c:majorGridlines/>
        <c:numFmt formatCode="General" sourceLinked="1"/>
        <c:minorTickMark val="in"/>
        <c:tickLblPos val="nextTo"/>
        <c:txPr>
          <a:bodyPr/>
          <a:lstStyle/>
          <a:p>
            <a:pPr>
              <a:defRPr sz="1400" baseline="0"/>
            </a:pPr>
            <a:endParaRPr lang="fi-FI"/>
          </a:p>
        </c:txPr>
        <c:crossAx val="60936192"/>
        <c:crosses val="autoZero"/>
        <c:crossBetween val="midCat"/>
      </c:valAx>
      <c:valAx>
        <c:axId val="60936192"/>
        <c:scaling>
          <c:orientation val="minMax"/>
          <c:max val="36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400" baseline="0"/>
            </a:pPr>
            <a:endParaRPr lang="fi-FI"/>
          </a:p>
        </c:txPr>
        <c:crossAx val="60926208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3723988414857609"/>
          <c:y val="8.5595742839837882E-2"/>
          <c:w val="0.15292572887848491"/>
          <c:h val="0.21794687202561241"/>
        </c:manualLayout>
      </c:layout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plotArea>
      <c:layout>
        <c:manualLayout>
          <c:layoutTarget val="inner"/>
          <c:xMode val="edge"/>
          <c:yMode val="edge"/>
          <c:x val="5.9899946197459086E-2"/>
          <c:y val="4.7200146397573847E-2"/>
          <c:w val="0.70108792650918861"/>
          <c:h val="0.79822506561679785"/>
        </c:manualLayout>
      </c:layout>
      <c:scatterChart>
        <c:scatterStyle val="smoothMarker"/>
        <c:ser>
          <c:idx val="0"/>
          <c:order val="0"/>
          <c:tx>
            <c:v>Sisämelun yöohje</c:v>
          </c:tx>
          <c:marker>
            <c:symbol val="none"/>
          </c:marker>
          <c:xVal>
            <c:numRef>
              <c:f>Sisämelukäyrät!$AE$18:$AE$28</c:f>
              <c:numCache>
                <c:formatCode>General</c:formatCode>
                <c:ptCount val="1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</c:numCache>
            </c:numRef>
          </c:xVal>
          <c:yVal>
            <c:numRef>
              <c:f>Sisämelukäyrät!$AF$18:$AF$28</c:f>
              <c:numCache>
                <c:formatCode>General</c:formatCode>
                <c:ptCount val="11"/>
                <c:pt idx="0">
                  <c:v>74</c:v>
                </c:pt>
                <c:pt idx="1">
                  <c:v>64</c:v>
                </c:pt>
                <c:pt idx="2">
                  <c:v>56</c:v>
                </c:pt>
                <c:pt idx="3">
                  <c:v>49</c:v>
                </c:pt>
                <c:pt idx="4">
                  <c:v>44</c:v>
                </c:pt>
                <c:pt idx="5">
                  <c:v>42</c:v>
                </c:pt>
                <c:pt idx="6">
                  <c:v>40</c:v>
                </c:pt>
                <c:pt idx="7">
                  <c:v>38</c:v>
                </c:pt>
                <c:pt idx="8">
                  <c:v>36</c:v>
                </c:pt>
                <c:pt idx="9">
                  <c:v>34</c:v>
                </c:pt>
                <c:pt idx="10">
                  <c:v>32</c:v>
                </c:pt>
              </c:numCache>
            </c:numRef>
          </c:yVal>
          <c:smooth val="1"/>
        </c:ser>
        <c:ser>
          <c:idx val="1"/>
          <c:order val="1"/>
          <c:tx>
            <c:v>Sisämelun päiväohje</c:v>
          </c:tx>
          <c:marker>
            <c:symbol val="none"/>
          </c:marker>
          <c:xVal>
            <c:numRef>
              <c:f>Sisämelukäyrät!$AE$39:$AE$49</c:f>
              <c:numCache>
                <c:formatCode>General</c:formatCode>
                <c:ptCount val="1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</c:numCache>
            </c:numRef>
          </c:xVal>
          <c:yVal>
            <c:numRef>
              <c:f>Sisämelukäyrät!$AF$39:$AF$49</c:f>
              <c:numCache>
                <c:formatCode>General</c:formatCode>
                <c:ptCount val="11"/>
                <c:pt idx="0">
                  <c:v>79</c:v>
                </c:pt>
                <c:pt idx="1">
                  <c:v>69</c:v>
                </c:pt>
                <c:pt idx="2">
                  <c:v>61</c:v>
                </c:pt>
                <c:pt idx="3">
                  <c:v>54</c:v>
                </c:pt>
                <c:pt idx="4">
                  <c:v>49</c:v>
                </c:pt>
                <c:pt idx="5">
                  <c:v>47</c:v>
                </c:pt>
                <c:pt idx="6">
                  <c:v>45</c:v>
                </c:pt>
                <c:pt idx="7">
                  <c:v>43</c:v>
                </c:pt>
                <c:pt idx="8">
                  <c:v>41</c:v>
                </c:pt>
                <c:pt idx="9">
                  <c:v>39</c:v>
                </c:pt>
                <c:pt idx="10">
                  <c:v>37</c:v>
                </c:pt>
              </c:numCache>
            </c:numRef>
          </c:yVal>
          <c:smooth val="1"/>
        </c:ser>
        <c:dLbls/>
        <c:axId val="60960128"/>
        <c:axId val="60974208"/>
      </c:scatterChart>
      <c:valAx>
        <c:axId val="60960128"/>
        <c:scaling>
          <c:orientation val="minMax"/>
          <c:max val="200"/>
          <c:min val="20"/>
        </c:scaling>
        <c:axPos val="b"/>
        <c:majorGridlines/>
        <c:numFmt formatCode="General" sourceLinked="1"/>
        <c:tickLblPos val="nextTo"/>
        <c:crossAx val="60974208"/>
        <c:crosses val="autoZero"/>
        <c:crossBetween val="midCat"/>
        <c:majorUnit val="20"/>
      </c:valAx>
      <c:valAx>
        <c:axId val="60974208"/>
        <c:scaling>
          <c:orientation val="minMax"/>
          <c:max val="80"/>
          <c:min val="20"/>
        </c:scaling>
        <c:axPos val="l"/>
        <c:majorGridlines/>
        <c:numFmt formatCode="General" sourceLinked="1"/>
        <c:tickLblPos val="nextTo"/>
        <c:crossAx val="6096012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plotArea>
      <c:layout>
        <c:manualLayout>
          <c:layoutTarget val="inner"/>
          <c:xMode val="edge"/>
          <c:yMode val="edge"/>
          <c:x val="9.1613298337707788E-2"/>
          <c:y val="5.1400554097404488E-2"/>
          <c:w val="0.67303237095363078"/>
          <c:h val="0.79822506561679785"/>
        </c:manualLayout>
      </c:layout>
      <c:scatterChart>
        <c:scatterStyle val="smoothMarker"/>
        <c:ser>
          <c:idx val="0"/>
          <c:order val="0"/>
          <c:tx>
            <c:v>taajuus 63 Hz</c:v>
          </c:tx>
          <c:spPr>
            <a:ln w="44450"/>
          </c:spPr>
          <c:marker>
            <c:symbol val="none"/>
          </c:marker>
          <c:xVal>
            <c:numRef>
              <c:f>Ilmastovaimennus!$B$18:$B$33</c:f>
              <c:numCache>
                <c:formatCode>General</c:formatCode>
                <c:ptCount val="16"/>
                <c:pt idx="0">
                  <c:v>100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</c:numCache>
            </c:numRef>
          </c:xVal>
          <c:yVal>
            <c:numRef>
              <c:f>Ilmastovaimennus!$C$18:$C$33</c:f>
              <c:numCache>
                <c:formatCode>General</c:formatCode>
                <c:ptCount val="16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6.0000000000000005E-2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0.18000000000000002</c:v>
                </c:pt>
                <c:pt idx="10">
                  <c:v>0.2</c:v>
                </c:pt>
                <c:pt idx="11">
                  <c:v>0.22</c:v>
                </c:pt>
                <c:pt idx="12">
                  <c:v>0.24000000000000002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</c:numCache>
            </c:numRef>
          </c:yVal>
          <c:smooth val="1"/>
        </c:ser>
        <c:ser>
          <c:idx val="1"/>
          <c:order val="1"/>
          <c:tx>
            <c:v>taajuus 125 Hz</c:v>
          </c:tx>
          <c:spPr>
            <a:ln w="44450"/>
          </c:spPr>
          <c:marker>
            <c:symbol val="none"/>
          </c:marker>
          <c:xVal>
            <c:numRef>
              <c:f>Ilmastovaimennus!$B$18:$B$33</c:f>
              <c:numCache>
                <c:formatCode>General</c:formatCode>
                <c:ptCount val="16"/>
                <c:pt idx="0">
                  <c:v>100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</c:numCache>
            </c:numRef>
          </c:xVal>
          <c:yVal>
            <c:numRef>
              <c:f>Ilmastovaimennus!$D$18:$D$33</c:f>
              <c:numCache>
                <c:formatCode>General</c:formatCode>
                <c:ptCount val="16"/>
                <c:pt idx="0">
                  <c:v>0.04</c:v>
                </c:pt>
                <c:pt idx="1">
                  <c:v>0.08</c:v>
                </c:pt>
                <c:pt idx="2">
                  <c:v>0.16</c:v>
                </c:pt>
                <c:pt idx="3">
                  <c:v>0.24000000000000002</c:v>
                </c:pt>
                <c:pt idx="4">
                  <c:v>0.32</c:v>
                </c:pt>
                <c:pt idx="5">
                  <c:v>0.4</c:v>
                </c:pt>
                <c:pt idx="6">
                  <c:v>0.48000000000000004</c:v>
                </c:pt>
                <c:pt idx="7">
                  <c:v>0.56000000000000005</c:v>
                </c:pt>
                <c:pt idx="8">
                  <c:v>0.64</c:v>
                </c:pt>
                <c:pt idx="9">
                  <c:v>0.72000000000000008</c:v>
                </c:pt>
                <c:pt idx="10">
                  <c:v>0.8</c:v>
                </c:pt>
                <c:pt idx="11">
                  <c:v>0.88</c:v>
                </c:pt>
                <c:pt idx="12">
                  <c:v>0.96000000000000008</c:v>
                </c:pt>
                <c:pt idx="13">
                  <c:v>1.04</c:v>
                </c:pt>
                <c:pt idx="14">
                  <c:v>1.1200000000000001</c:v>
                </c:pt>
                <c:pt idx="15">
                  <c:v>1.2</c:v>
                </c:pt>
              </c:numCache>
            </c:numRef>
          </c:yVal>
          <c:smooth val="1"/>
        </c:ser>
        <c:ser>
          <c:idx val="2"/>
          <c:order val="2"/>
          <c:tx>
            <c:v>taajuus 250 Hz</c:v>
          </c:tx>
          <c:spPr>
            <a:ln w="44450"/>
          </c:spPr>
          <c:marker>
            <c:symbol val="none"/>
          </c:marker>
          <c:xVal>
            <c:numRef>
              <c:f>Ilmastovaimennus!$B$18:$B$33</c:f>
              <c:numCache>
                <c:formatCode>General</c:formatCode>
                <c:ptCount val="16"/>
                <c:pt idx="0">
                  <c:v>100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</c:numCache>
            </c:numRef>
          </c:xVal>
          <c:yVal>
            <c:numRef>
              <c:f>Ilmastovaimennus!$E$18:$E$33</c:f>
              <c:numCache>
                <c:formatCode>General</c:formatCode>
                <c:ptCount val="16"/>
                <c:pt idx="0">
                  <c:v>0.1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1.4000000000000001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</c:v>
                </c:pt>
              </c:numCache>
            </c:numRef>
          </c:yVal>
          <c:smooth val="1"/>
        </c:ser>
        <c:ser>
          <c:idx val="3"/>
          <c:order val="3"/>
          <c:tx>
            <c:v>taajuus 500 Hz</c:v>
          </c:tx>
          <c:spPr>
            <a:ln w="44450"/>
          </c:spPr>
          <c:marker>
            <c:symbol val="none"/>
          </c:marker>
          <c:xVal>
            <c:numRef>
              <c:f>Ilmastovaimennus!$B$18:$B$33</c:f>
              <c:numCache>
                <c:formatCode>General</c:formatCode>
                <c:ptCount val="16"/>
                <c:pt idx="0">
                  <c:v>100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</c:numCache>
            </c:numRef>
          </c:xVal>
          <c:yVal>
            <c:numRef>
              <c:f>Ilmastovaimennus!$F$18:$F$33</c:f>
              <c:numCache>
                <c:formatCode>General</c:formatCode>
                <c:ptCount val="16"/>
                <c:pt idx="0">
                  <c:v>0.19</c:v>
                </c:pt>
                <c:pt idx="1">
                  <c:v>0.38</c:v>
                </c:pt>
                <c:pt idx="2">
                  <c:v>0.76</c:v>
                </c:pt>
                <c:pt idx="3">
                  <c:v>1.1399999999999999</c:v>
                </c:pt>
                <c:pt idx="4">
                  <c:v>1.52</c:v>
                </c:pt>
                <c:pt idx="5">
                  <c:v>1.9</c:v>
                </c:pt>
                <c:pt idx="6">
                  <c:v>2.2799999999999998</c:v>
                </c:pt>
                <c:pt idx="7">
                  <c:v>2.66</c:v>
                </c:pt>
                <c:pt idx="8">
                  <c:v>3.04</c:v>
                </c:pt>
                <c:pt idx="9">
                  <c:v>3.42</c:v>
                </c:pt>
                <c:pt idx="10">
                  <c:v>3.8</c:v>
                </c:pt>
                <c:pt idx="11">
                  <c:v>4.18</c:v>
                </c:pt>
                <c:pt idx="12">
                  <c:v>4.5599999999999996</c:v>
                </c:pt>
                <c:pt idx="13">
                  <c:v>4.9400000000000004</c:v>
                </c:pt>
                <c:pt idx="14">
                  <c:v>5.32</c:v>
                </c:pt>
                <c:pt idx="15">
                  <c:v>5.7</c:v>
                </c:pt>
              </c:numCache>
            </c:numRef>
          </c:yVal>
          <c:smooth val="1"/>
        </c:ser>
        <c:ser>
          <c:idx val="4"/>
          <c:order val="4"/>
          <c:tx>
            <c:v>taajuus 1000 Hz</c:v>
          </c:tx>
          <c:spPr>
            <a:ln w="44450"/>
          </c:spPr>
          <c:marker>
            <c:symbol val="none"/>
          </c:marker>
          <c:xVal>
            <c:numRef>
              <c:f>Ilmastovaimennus!$B$18:$B$33</c:f>
              <c:numCache>
                <c:formatCode>General</c:formatCode>
                <c:ptCount val="16"/>
                <c:pt idx="0">
                  <c:v>100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</c:numCache>
            </c:numRef>
          </c:xVal>
          <c:yVal>
            <c:numRef>
              <c:f>Ilmastovaimennus!$G$18:$G$33</c:f>
              <c:numCache>
                <c:formatCode>General</c:formatCode>
                <c:ptCount val="16"/>
                <c:pt idx="0">
                  <c:v>0.37</c:v>
                </c:pt>
                <c:pt idx="1">
                  <c:v>0.74</c:v>
                </c:pt>
                <c:pt idx="2">
                  <c:v>1.48</c:v>
                </c:pt>
                <c:pt idx="3">
                  <c:v>2.2200000000000002</c:v>
                </c:pt>
                <c:pt idx="4">
                  <c:v>2.96</c:v>
                </c:pt>
                <c:pt idx="5">
                  <c:v>3.7</c:v>
                </c:pt>
                <c:pt idx="6">
                  <c:v>4.4400000000000004</c:v>
                </c:pt>
                <c:pt idx="7">
                  <c:v>5.1800000000000006</c:v>
                </c:pt>
                <c:pt idx="8">
                  <c:v>5.92</c:v>
                </c:pt>
                <c:pt idx="9">
                  <c:v>6.66</c:v>
                </c:pt>
                <c:pt idx="10">
                  <c:v>7.4</c:v>
                </c:pt>
                <c:pt idx="11">
                  <c:v>8.14</c:v>
                </c:pt>
                <c:pt idx="12">
                  <c:v>8.8800000000000008</c:v>
                </c:pt>
                <c:pt idx="13">
                  <c:v>9.620000000000001</c:v>
                </c:pt>
                <c:pt idx="14">
                  <c:v>10.360000000000001</c:v>
                </c:pt>
                <c:pt idx="15">
                  <c:v>11.1</c:v>
                </c:pt>
              </c:numCache>
            </c:numRef>
          </c:yVal>
          <c:smooth val="1"/>
        </c:ser>
        <c:ser>
          <c:idx val="5"/>
          <c:order val="5"/>
          <c:tx>
            <c:v>taajuus 2000 Hz</c:v>
          </c:tx>
          <c:spPr>
            <a:ln w="44450"/>
          </c:spPr>
          <c:marker>
            <c:symbol val="none"/>
          </c:marker>
          <c:xVal>
            <c:numRef>
              <c:f>Ilmastovaimennus!$B$18:$B$33</c:f>
              <c:numCache>
                <c:formatCode>General</c:formatCode>
                <c:ptCount val="16"/>
                <c:pt idx="0">
                  <c:v>100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</c:numCache>
            </c:numRef>
          </c:xVal>
          <c:yVal>
            <c:numRef>
              <c:f>Ilmastovaimennus!$H$18:$H$33</c:f>
              <c:numCache>
                <c:formatCode>General</c:formatCode>
                <c:ptCount val="16"/>
                <c:pt idx="0">
                  <c:v>0.96999999999999986</c:v>
                </c:pt>
                <c:pt idx="1">
                  <c:v>1.9399999999999997</c:v>
                </c:pt>
                <c:pt idx="2">
                  <c:v>3.8799999999999994</c:v>
                </c:pt>
                <c:pt idx="3">
                  <c:v>5.8199999999999994</c:v>
                </c:pt>
                <c:pt idx="4">
                  <c:v>7.7599999999999989</c:v>
                </c:pt>
                <c:pt idx="5">
                  <c:v>9.6999999999999993</c:v>
                </c:pt>
                <c:pt idx="6">
                  <c:v>11.639999999999999</c:v>
                </c:pt>
                <c:pt idx="7">
                  <c:v>13.579999999999998</c:v>
                </c:pt>
                <c:pt idx="8">
                  <c:v>15.519999999999998</c:v>
                </c:pt>
                <c:pt idx="9">
                  <c:v>17.459999999999997</c:v>
                </c:pt>
                <c:pt idx="10">
                  <c:v>19.399999999999999</c:v>
                </c:pt>
                <c:pt idx="11">
                  <c:v>21.339999999999996</c:v>
                </c:pt>
                <c:pt idx="12">
                  <c:v>23.279999999999998</c:v>
                </c:pt>
                <c:pt idx="13">
                  <c:v>25.219999999999995</c:v>
                </c:pt>
                <c:pt idx="14">
                  <c:v>27.159999999999997</c:v>
                </c:pt>
                <c:pt idx="15">
                  <c:v>29.099999999999994</c:v>
                </c:pt>
              </c:numCache>
            </c:numRef>
          </c:yVal>
          <c:smooth val="1"/>
        </c:ser>
        <c:ser>
          <c:idx val="6"/>
          <c:order val="6"/>
          <c:tx>
            <c:v>taajuus 4000 Hz</c:v>
          </c:tx>
          <c:marker>
            <c:symbol val="none"/>
          </c:marker>
          <c:xVal>
            <c:numRef>
              <c:f>Ilmastovaimennus!$B$18:$B$33</c:f>
              <c:numCache>
                <c:formatCode>General</c:formatCode>
                <c:ptCount val="16"/>
                <c:pt idx="0">
                  <c:v>100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</c:numCache>
            </c:numRef>
          </c:xVal>
          <c:yVal>
            <c:numRef>
              <c:f>Ilmastovaimennus!$I$18:$I$33</c:f>
              <c:numCache>
                <c:formatCode>General</c:formatCode>
                <c:ptCount val="16"/>
                <c:pt idx="0">
                  <c:v>3.2799999999999994</c:v>
                </c:pt>
                <c:pt idx="1">
                  <c:v>6.5599999999999987</c:v>
                </c:pt>
                <c:pt idx="2">
                  <c:v>13.119999999999997</c:v>
                </c:pt>
                <c:pt idx="3">
                  <c:v>19.679999999999996</c:v>
                </c:pt>
                <c:pt idx="4">
                  <c:v>26.239999999999995</c:v>
                </c:pt>
                <c:pt idx="5">
                  <c:v>32.799999999999997</c:v>
                </c:pt>
                <c:pt idx="6">
                  <c:v>39.359999999999992</c:v>
                </c:pt>
                <c:pt idx="7">
                  <c:v>45.919999999999995</c:v>
                </c:pt>
                <c:pt idx="8">
                  <c:v>52.47999999999999</c:v>
                </c:pt>
                <c:pt idx="9">
                  <c:v>59.039999999999992</c:v>
                </c:pt>
                <c:pt idx="10">
                  <c:v>65.599999999999994</c:v>
                </c:pt>
                <c:pt idx="11">
                  <c:v>72.16</c:v>
                </c:pt>
                <c:pt idx="12">
                  <c:v>78.719999999999985</c:v>
                </c:pt>
                <c:pt idx="13">
                  <c:v>85.279999999999987</c:v>
                </c:pt>
                <c:pt idx="14">
                  <c:v>91.839999999999989</c:v>
                </c:pt>
                <c:pt idx="15">
                  <c:v>98.399999999999991</c:v>
                </c:pt>
              </c:numCache>
            </c:numRef>
          </c:yVal>
          <c:smooth val="1"/>
        </c:ser>
        <c:ser>
          <c:idx val="7"/>
          <c:order val="7"/>
          <c:tx>
            <c:v>taajuus 8000 Hz</c:v>
          </c:tx>
          <c:marker>
            <c:symbol val="none"/>
          </c:marker>
          <c:xVal>
            <c:numRef>
              <c:f>Ilmastovaimennus!$B$18:$B$33</c:f>
              <c:numCache>
                <c:formatCode>General</c:formatCode>
                <c:ptCount val="16"/>
                <c:pt idx="0">
                  <c:v>100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</c:numCache>
            </c:numRef>
          </c:xVal>
          <c:yVal>
            <c:numRef>
              <c:f>Ilmastovaimennus!$J$18:$J$33</c:f>
              <c:numCache>
                <c:formatCode>General</c:formatCode>
                <c:ptCount val="16"/>
                <c:pt idx="0">
                  <c:v>11.700000000000001</c:v>
                </c:pt>
                <c:pt idx="1">
                  <c:v>23.400000000000002</c:v>
                </c:pt>
                <c:pt idx="2">
                  <c:v>46.800000000000004</c:v>
                </c:pt>
                <c:pt idx="3">
                  <c:v>70.2</c:v>
                </c:pt>
                <c:pt idx="4">
                  <c:v>93.600000000000009</c:v>
                </c:pt>
                <c:pt idx="5">
                  <c:v>117</c:v>
                </c:pt>
                <c:pt idx="6">
                  <c:v>140.4</c:v>
                </c:pt>
                <c:pt idx="7">
                  <c:v>163.80000000000001</c:v>
                </c:pt>
                <c:pt idx="8">
                  <c:v>187.20000000000002</c:v>
                </c:pt>
                <c:pt idx="9">
                  <c:v>210.60000000000002</c:v>
                </c:pt>
                <c:pt idx="10">
                  <c:v>234</c:v>
                </c:pt>
                <c:pt idx="11">
                  <c:v>257.40000000000003</c:v>
                </c:pt>
                <c:pt idx="12">
                  <c:v>280.8</c:v>
                </c:pt>
                <c:pt idx="13">
                  <c:v>304.20000000000005</c:v>
                </c:pt>
                <c:pt idx="14">
                  <c:v>327.60000000000002</c:v>
                </c:pt>
                <c:pt idx="15">
                  <c:v>351</c:v>
                </c:pt>
              </c:numCache>
            </c:numRef>
          </c:yVal>
          <c:smooth val="1"/>
        </c:ser>
        <c:dLbls/>
        <c:axId val="61129856"/>
        <c:axId val="61131392"/>
      </c:scatterChart>
      <c:valAx>
        <c:axId val="61129856"/>
        <c:scaling>
          <c:orientation val="minMax"/>
          <c:max val="3000"/>
          <c:min val="0"/>
        </c:scaling>
        <c:axPos val="b"/>
        <c:majorGridlines/>
        <c:numFmt formatCode="General" sourceLinked="1"/>
        <c:tickLblPos val="nextTo"/>
        <c:crossAx val="61131392"/>
        <c:crosses val="autoZero"/>
        <c:crossBetween val="midCat"/>
      </c:valAx>
      <c:valAx>
        <c:axId val="61131392"/>
        <c:scaling>
          <c:orientation val="minMax"/>
          <c:max val="30"/>
        </c:scaling>
        <c:axPos val="l"/>
        <c:majorGridlines/>
        <c:numFmt formatCode="General" sourceLinked="1"/>
        <c:tickLblPos val="nextTo"/>
        <c:crossAx val="61129856"/>
        <c:crosses val="autoZero"/>
        <c:crossBetween val="midCat"/>
        <c:majorUnit val="2.5"/>
      </c:valAx>
    </c:plotArea>
    <c:legend>
      <c:legendPos val="r"/>
    </c:legend>
    <c:plotVisOnly val="1"/>
    <c:dispBlanksAs val="gap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plotArea>
      <c:layout>
        <c:manualLayout>
          <c:layoutTarget val="inner"/>
          <c:xMode val="edge"/>
          <c:yMode val="edge"/>
          <c:x val="5.5923665791776017E-2"/>
          <c:y val="5.1400554097404488E-2"/>
          <c:w val="0.71836089238845369"/>
          <c:h val="0.89719889180519163"/>
        </c:manualLayout>
      </c:layout>
      <c:scatterChart>
        <c:scatterStyle val="smoothMarker"/>
        <c:ser>
          <c:idx val="0"/>
          <c:order val="0"/>
          <c:tx>
            <c:v>dBA</c:v>
          </c:tx>
          <c:marker>
            <c:symbol val="none"/>
          </c:marker>
          <c:xVal>
            <c:numRef>
              <c:f>'Muunnokset lin A C'!$B$17:$B$43</c:f>
              <c:numCache>
                <c:formatCode>General</c:formatCode>
                <c:ptCount val="27"/>
                <c:pt idx="0">
                  <c:v>2</c:v>
                </c:pt>
                <c:pt idx="1">
                  <c:v>2.5</c:v>
                </c:pt>
                <c:pt idx="2">
                  <c:v>3.15</c:v>
                </c:pt>
                <c:pt idx="3">
                  <c:v>4</c:v>
                </c:pt>
                <c:pt idx="4">
                  <c:v>5</c:v>
                </c:pt>
                <c:pt idx="5">
                  <c:v>6.3</c:v>
                </c:pt>
                <c:pt idx="6">
                  <c:v>8</c:v>
                </c:pt>
                <c:pt idx="7">
                  <c:v>10</c:v>
                </c:pt>
                <c:pt idx="8">
                  <c:v>12.5</c:v>
                </c:pt>
                <c:pt idx="9">
                  <c:v>16</c:v>
                </c:pt>
                <c:pt idx="10">
                  <c:v>20</c:v>
                </c:pt>
                <c:pt idx="11">
                  <c:v>25</c:v>
                </c:pt>
                <c:pt idx="12">
                  <c:v>31.5</c:v>
                </c:pt>
                <c:pt idx="13">
                  <c:v>40</c:v>
                </c:pt>
                <c:pt idx="14">
                  <c:v>50</c:v>
                </c:pt>
                <c:pt idx="15">
                  <c:v>63</c:v>
                </c:pt>
                <c:pt idx="16">
                  <c:v>80</c:v>
                </c:pt>
                <c:pt idx="17">
                  <c:v>100</c:v>
                </c:pt>
                <c:pt idx="18">
                  <c:v>125</c:v>
                </c:pt>
                <c:pt idx="19">
                  <c:v>160</c:v>
                </c:pt>
                <c:pt idx="20">
                  <c:v>200</c:v>
                </c:pt>
                <c:pt idx="21">
                  <c:v>250</c:v>
                </c:pt>
                <c:pt idx="22">
                  <c:v>500</c:v>
                </c:pt>
                <c:pt idx="23">
                  <c:v>1000</c:v>
                </c:pt>
                <c:pt idx="24">
                  <c:v>2000</c:v>
                </c:pt>
                <c:pt idx="25">
                  <c:v>4000</c:v>
                </c:pt>
                <c:pt idx="26">
                  <c:v>8000</c:v>
                </c:pt>
              </c:numCache>
            </c:numRef>
          </c:xVal>
          <c:yVal>
            <c:numRef>
              <c:f>'Muunnokset lin A C'!$D$17:$D$43</c:f>
              <c:numCache>
                <c:formatCode>General</c:formatCode>
                <c:ptCount val="27"/>
                <c:pt idx="0">
                  <c:v>-124.5</c:v>
                </c:pt>
                <c:pt idx="1">
                  <c:v>-116.8</c:v>
                </c:pt>
                <c:pt idx="2">
                  <c:v>-108.9</c:v>
                </c:pt>
                <c:pt idx="3">
                  <c:v>-100.7</c:v>
                </c:pt>
                <c:pt idx="4">
                  <c:v>-93.1</c:v>
                </c:pt>
                <c:pt idx="5">
                  <c:v>-85.4</c:v>
                </c:pt>
                <c:pt idx="6">
                  <c:v>-77.5</c:v>
                </c:pt>
                <c:pt idx="7">
                  <c:v>-70.400000000000006</c:v>
                </c:pt>
                <c:pt idx="8">
                  <c:v>-63.6</c:v>
                </c:pt>
                <c:pt idx="9">
                  <c:v>-56.4</c:v>
                </c:pt>
                <c:pt idx="10">
                  <c:v>-50.4</c:v>
                </c:pt>
                <c:pt idx="11">
                  <c:v>-44.8</c:v>
                </c:pt>
                <c:pt idx="12">
                  <c:v>-39.5</c:v>
                </c:pt>
                <c:pt idx="13">
                  <c:v>-34.6</c:v>
                </c:pt>
                <c:pt idx="14">
                  <c:v>-30.2</c:v>
                </c:pt>
                <c:pt idx="15">
                  <c:v>-26.2</c:v>
                </c:pt>
                <c:pt idx="16">
                  <c:v>-22.4</c:v>
                </c:pt>
                <c:pt idx="17">
                  <c:v>-19.100000000000001</c:v>
                </c:pt>
                <c:pt idx="18">
                  <c:v>-16.2</c:v>
                </c:pt>
                <c:pt idx="19">
                  <c:v>-13.2</c:v>
                </c:pt>
                <c:pt idx="20">
                  <c:v>-10.8</c:v>
                </c:pt>
                <c:pt idx="21">
                  <c:v>-8.6</c:v>
                </c:pt>
                <c:pt idx="22">
                  <c:v>-3.2</c:v>
                </c:pt>
                <c:pt idx="23">
                  <c:v>0</c:v>
                </c:pt>
                <c:pt idx="24">
                  <c:v>1.2</c:v>
                </c:pt>
                <c:pt idx="25">
                  <c:v>1</c:v>
                </c:pt>
                <c:pt idx="26">
                  <c:v>-1.1000000000000001</c:v>
                </c:pt>
              </c:numCache>
            </c:numRef>
          </c:yVal>
          <c:smooth val="1"/>
        </c:ser>
        <c:ser>
          <c:idx val="1"/>
          <c:order val="1"/>
          <c:tx>
            <c:v>dBC</c:v>
          </c:tx>
          <c:marker>
            <c:symbol val="none"/>
          </c:marker>
          <c:xVal>
            <c:numRef>
              <c:f>'Muunnokset lin A C'!$B$17:$B$44</c:f>
              <c:numCache>
                <c:formatCode>General</c:formatCode>
                <c:ptCount val="28"/>
                <c:pt idx="0">
                  <c:v>2</c:v>
                </c:pt>
                <c:pt idx="1">
                  <c:v>2.5</c:v>
                </c:pt>
                <c:pt idx="2">
                  <c:v>3.15</c:v>
                </c:pt>
                <c:pt idx="3">
                  <c:v>4</c:v>
                </c:pt>
                <c:pt idx="4">
                  <c:v>5</c:v>
                </c:pt>
                <c:pt idx="5">
                  <c:v>6.3</c:v>
                </c:pt>
                <c:pt idx="6">
                  <c:v>8</c:v>
                </c:pt>
                <c:pt idx="7">
                  <c:v>10</c:v>
                </c:pt>
                <c:pt idx="8">
                  <c:v>12.5</c:v>
                </c:pt>
                <c:pt idx="9">
                  <c:v>16</c:v>
                </c:pt>
                <c:pt idx="10">
                  <c:v>20</c:v>
                </c:pt>
                <c:pt idx="11">
                  <c:v>25</c:v>
                </c:pt>
                <c:pt idx="12">
                  <c:v>31.5</c:v>
                </c:pt>
                <c:pt idx="13">
                  <c:v>40</c:v>
                </c:pt>
                <c:pt idx="14">
                  <c:v>50</c:v>
                </c:pt>
                <c:pt idx="15">
                  <c:v>63</c:v>
                </c:pt>
                <c:pt idx="16">
                  <c:v>80</c:v>
                </c:pt>
                <c:pt idx="17">
                  <c:v>100</c:v>
                </c:pt>
                <c:pt idx="18">
                  <c:v>125</c:v>
                </c:pt>
                <c:pt idx="19">
                  <c:v>160</c:v>
                </c:pt>
                <c:pt idx="20">
                  <c:v>200</c:v>
                </c:pt>
                <c:pt idx="21">
                  <c:v>250</c:v>
                </c:pt>
                <c:pt idx="22">
                  <c:v>500</c:v>
                </c:pt>
                <c:pt idx="23">
                  <c:v>1000</c:v>
                </c:pt>
                <c:pt idx="24">
                  <c:v>2000</c:v>
                </c:pt>
                <c:pt idx="25">
                  <c:v>4000</c:v>
                </c:pt>
                <c:pt idx="26">
                  <c:v>8000</c:v>
                </c:pt>
                <c:pt idx="27">
                  <c:v>10000</c:v>
                </c:pt>
              </c:numCache>
            </c:numRef>
          </c:xVal>
          <c:yVal>
            <c:numRef>
              <c:f>'Muunnokset lin A C'!$E$17:$E$43</c:f>
              <c:numCache>
                <c:formatCode>General</c:formatCode>
                <c:ptCount val="27"/>
                <c:pt idx="0">
                  <c:v>-40.5</c:v>
                </c:pt>
                <c:pt idx="1">
                  <c:v>-36.700000000000003</c:v>
                </c:pt>
                <c:pt idx="2">
                  <c:v>-32.700000000000003</c:v>
                </c:pt>
                <c:pt idx="3">
                  <c:v>-28.7</c:v>
                </c:pt>
                <c:pt idx="4">
                  <c:v>-25</c:v>
                </c:pt>
                <c:pt idx="5">
                  <c:v>-21.3</c:v>
                </c:pt>
                <c:pt idx="6">
                  <c:v>-17.600000000000001</c:v>
                </c:pt>
                <c:pt idx="7">
                  <c:v>-14.3</c:v>
                </c:pt>
                <c:pt idx="8">
                  <c:v>-11.3</c:v>
                </c:pt>
                <c:pt idx="9">
                  <c:v>-8.4</c:v>
                </c:pt>
                <c:pt idx="10">
                  <c:v>-6.2</c:v>
                </c:pt>
                <c:pt idx="11">
                  <c:v>-4.4000000000000004</c:v>
                </c:pt>
                <c:pt idx="12">
                  <c:v>-3</c:v>
                </c:pt>
                <c:pt idx="13">
                  <c:v>-1.98</c:v>
                </c:pt>
                <c:pt idx="14">
                  <c:v>-1.3</c:v>
                </c:pt>
                <c:pt idx="15">
                  <c:v>-0.8</c:v>
                </c:pt>
                <c:pt idx="16">
                  <c:v>-0.5</c:v>
                </c:pt>
                <c:pt idx="17">
                  <c:v>-0.3</c:v>
                </c:pt>
                <c:pt idx="18">
                  <c:v>-0.2</c:v>
                </c:pt>
                <c:pt idx="19">
                  <c:v>-0.08</c:v>
                </c:pt>
                <c:pt idx="20">
                  <c:v>-0.03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-0.2</c:v>
                </c:pt>
                <c:pt idx="25">
                  <c:v>-0.8</c:v>
                </c:pt>
                <c:pt idx="26">
                  <c:v>-3</c:v>
                </c:pt>
              </c:numCache>
            </c:numRef>
          </c:yVal>
          <c:smooth val="1"/>
        </c:ser>
        <c:dLbls/>
        <c:axId val="61817600"/>
        <c:axId val="61819136"/>
      </c:scatterChart>
      <c:valAx>
        <c:axId val="61817600"/>
        <c:scaling>
          <c:logBase val="10"/>
          <c:orientation val="minMax"/>
          <c:max val="10000"/>
          <c:min val="2"/>
        </c:scaling>
        <c:axPos val="b"/>
        <c:majorGridlines/>
        <c:minorGridlines/>
        <c:numFmt formatCode="General" sourceLinked="1"/>
        <c:tickLblPos val="nextTo"/>
        <c:crossAx val="61819136"/>
        <c:crossesAt val="-100"/>
        <c:crossBetween val="midCat"/>
      </c:valAx>
      <c:valAx>
        <c:axId val="61819136"/>
        <c:scaling>
          <c:orientation val="minMax"/>
          <c:max val="10"/>
          <c:min val="-100"/>
        </c:scaling>
        <c:axPos val="l"/>
        <c:majorGridlines/>
        <c:minorGridlines/>
        <c:numFmt formatCode="General" sourceLinked="1"/>
        <c:tickLblPos val="nextTo"/>
        <c:crossAx val="61817600"/>
        <c:crosses val="autoZero"/>
        <c:crossBetween val="midCat"/>
        <c:minorUnit val="5"/>
      </c:valAx>
    </c:plotArea>
    <c:legend>
      <c:legendPos val="r"/>
    </c:legend>
    <c:plotVisOnly val="1"/>
    <c:dispBlanksAs val="gap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chart" Target="../charts/chart6.xml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69057</xdr:colOff>
      <xdr:row>5</xdr:row>
      <xdr:rowOff>19049</xdr:rowOff>
    </xdr:from>
    <xdr:to>
      <xdr:col>19</xdr:col>
      <xdr:colOff>42864</xdr:colOff>
      <xdr:row>36</xdr:row>
      <xdr:rowOff>9524</xdr:rowOff>
    </xdr:to>
    <xdr:graphicFrame macro="">
      <xdr:nvGraphicFramePr>
        <xdr:cNvPr id="2" name="Kaavi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600075</xdr:colOff>
      <xdr:row>44</xdr:row>
      <xdr:rowOff>171450</xdr:rowOff>
    </xdr:from>
    <xdr:to>
      <xdr:col>17</xdr:col>
      <xdr:colOff>571500</xdr:colOff>
      <xdr:row>83</xdr:row>
      <xdr:rowOff>19050</xdr:rowOff>
    </xdr:to>
    <xdr:graphicFrame macro="">
      <xdr:nvGraphicFramePr>
        <xdr:cNvPr id="3" name="Kaavi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544287</xdr:colOff>
      <xdr:row>96</xdr:row>
      <xdr:rowOff>221117</xdr:rowOff>
    </xdr:from>
    <xdr:to>
      <xdr:col>16</xdr:col>
      <xdr:colOff>334737</xdr:colOff>
      <xdr:row>144</xdr:row>
      <xdr:rowOff>144917</xdr:rowOff>
    </xdr:to>
    <xdr:graphicFrame macro="">
      <xdr:nvGraphicFramePr>
        <xdr:cNvPr id="4" name="Kaavi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607218</xdr:colOff>
      <xdr:row>23</xdr:row>
      <xdr:rowOff>0</xdr:rowOff>
    </xdr:from>
    <xdr:to>
      <xdr:col>29</xdr:col>
      <xdr:colOff>541488</xdr:colOff>
      <xdr:row>33</xdr:row>
      <xdr:rowOff>35719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44374" y="5988844"/>
          <a:ext cx="7921663" cy="1940719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612322</xdr:colOff>
      <xdr:row>70</xdr:row>
      <xdr:rowOff>0</xdr:rowOff>
    </xdr:from>
    <xdr:to>
      <xdr:col>31</xdr:col>
      <xdr:colOff>567419</xdr:colOff>
      <xdr:row>79</xdr:row>
      <xdr:rowOff>16329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396608" y="16437429"/>
          <a:ext cx="5098597" cy="27105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85725</xdr:rowOff>
    </xdr:from>
    <xdr:to>
      <xdr:col>11</xdr:col>
      <xdr:colOff>596145</xdr:colOff>
      <xdr:row>25</xdr:row>
      <xdr:rowOff>187620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657225"/>
          <a:ext cx="6682620" cy="4292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600075</xdr:colOff>
      <xdr:row>3</xdr:row>
      <xdr:rowOff>142875</xdr:rowOff>
    </xdr:from>
    <xdr:to>
      <xdr:col>27</xdr:col>
      <xdr:colOff>460375</xdr:colOff>
      <xdr:row>32</xdr:row>
      <xdr:rowOff>69850</xdr:rowOff>
    </xdr:to>
    <xdr:pic>
      <xdr:nvPicPr>
        <xdr:cNvPr id="3" name="Picture 2"/>
        <xdr:cNvPicPr>
          <a:picLocks noGrp="1"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53675" y="714375"/>
          <a:ext cx="6565900" cy="559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33</xdr:row>
      <xdr:rowOff>228600</xdr:rowOff>
    </xdr:from>
    <xdr:to>
      <xdr:col>24</xdr:col>
      <xdr:colOff>134937</xdr:colOff>
      <xdr:row>60</xdr:row>
      <xdr:rowOff>98425</xdr:rowOff>
    </xdr:to>
    <xdr:pic>
      <xdr:nvPicPr>
        <xdr:cNvPr id="4" name="Picture 2"/>
        <xdr:cNvPicPr>
          <a:picLocks noGrp="1"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72725" y="6705600"/>
          <a:ext cx="4392612" cy="556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28575</xdr:colOff>
      <xdr:row>33</xdr:row>
      <xdr:rowOff>228600</xdr:rowOff>
    </xdr:from>
    <xdr:to>
      <xdr:col>34</xdr:col>
      <xdr:colOff>407987</xdr:colOff>
      <xdr:row>61</xdr:row>
      <xdr:rowOff>61913</xdr:rowOff>
    </xdr:to>
    <xdr:pic>
      <xdr:nvPicPr>
        <xdr:cNvPr id="5" name="Picture 2"/>
        <xdr:cNvPicPr>
          <a:picLocks noGrp="1"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878175" y="6705600"/>
          <a:ext cx="5256212" cy="5719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12</xdr:col>
      <xdr:colOff>262618</xdr:colOff>
      <xdr:row>72</xdr:row>
      <xdr:rowOff>114300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10534650"/>
          <a:ext cx="6996793" cy="411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14</xdr:col>
      <xdr:colOff>66675</xdr:colOff>
      <xdr:row>104</xdr:row>
      <xdr:rowOff>133350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14725650"/>
          <a:ext cx="8020050" cy="6038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0.14417</cdr:x>
      <cdr:y>0.08502</cdr:y>
    </cdr:from>
    <cdr:to>
      <cdr:x>0.83514</cdr:x>
      <cdr:y>0.1359</cdr:y>
    </cdr:to>
    <cdr:sp macro="" textlink="">
      <cdr:nvSpPr>
        <cdr:cNvPr id="2" name="Tekstikehys 1"/>
        <cdr:cNvSpPr txBox="1"/>
      </cdr:nvSpPr>
      <cdr:spPr>
        <a:xfrm xmlns:a="http://schemas.openxmlformats.org/drawingml/2006/main">
          <a:off x="1266148" y="631680"/>
          <a:ext cx="6068102" cy="377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i-FI" sz="1800" b="1"/>
            <a:t>Sisämelun yöohje 74,5 dBlin ja päiväohje</a:t>
          </a:r>
          <a:r>
            <a:rPr lang="fi-FI" sz="1800" b="1" baseline="0"/>
            <a:t> 79,5 dBlin</a:t>
          </a:r>
          <a:r>
            <a:rPr lang="fi-FI" sz="1100" b="1"/>
            <a:t> </a:t>
          </a:r>
        </a:p>
        <a:p xmlns:a="http://schemas.openxmlformats.org/drawingml/2006/main">
          <a:endParaRPr lang="fi-FI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793297</xdr:colOff>
      <xdr:row>13</xdr:row>
      <xdr:rowOff>142875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7524750" cy="204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16</xdr:col>
      <xdr:colOff>590549</xdr:colOff>
      <xdr:row>11</xdr:row>
      <xdr:rowOff>28574</xdr:rowOff>
    </xdr:from>
    <xdr:to>
      <xdr:col>30</xdr:col>
      <xdr:colOff>76200</xdr:colOff>
      <xdr:row>34</xdr:row>
      <xdr:rowOff>142875</xdr:rowOff>
    </xdr:to>
    <xdr:graphicFrame macro="">
      <xdr:nvGraphicFramePr>
        <xdr:cNvPr id="3" name="Kaavi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1</xdr:row>
      <xdr:rowOff>9525</xdr:rowOff>
    </xdr:from>
    <xdr:to>
      <xdr:col>6</xdr:col>
      <xdr:colOff>219075</xdr:colOff>
      <xdr:row>19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200025"/>
          <a:ext cx="3409950" cy="3562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485775</xdr:colOff>
      <xdr:row>1</xdr:row>
      <xdr:rowOff>47625</xdr:rowOff>
    </xdr:from>
    <xdr:to>
      <xdr:col>12</xdr:col>
      <xdr:colOff>361950</xdr:colOff>
      <xdr:row>10</xdr:row>
      <xdr:rowOff>47625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43375" y="238125"/>
          <a:ext cx="3533775" cy="1714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14</xdr:col>
      <xdr:colOff>452437</xdr:colOff>
      <xdr:row>11</xdr:row>
      <xdr:rowOff>152399</xdr:rowOff>
    </xdr:from>
    <xdr:to>
      <xdr:col>29</xdr:col>
      <xdr:colOff>276225</xdr:colOff>
      <xdr:row>52</xdr:row>
      <xdr:rowOff>28574</xdr:rowOff>
    </xdr:to>
    <xdr:graphicFrame macro="">
      <xdr:nvGraphicFramePr>
        <xdr:cNvPr id="4" name="Kaavi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552450</xdr:colOff>
      <xdr:row>1</xdr:row>
      <xdr:rowOff>152400</xdr:rowOff>
    </xdr:from>
    <xdr:to>
      <xdr:col>25</xdr:col>
      <xdr:colOff>4083</xdr:colOff>
      <xdr:row>6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67650" y="342900"/>
          <a:ext cx="7376433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0</xdr:colOff>
      <xdr:row>20</xdr:row>
      <xdr:rowOff>171449</xdr:rowOff>
    </xdr:from>
    <xdr:to>
      <xdr:col>14</xdr:col>
      <xdr:colOff>247650</xdr:colOff>
      <xdr:row>52</xdr:row>
      <xdr:rowOff>76200</xdr:rowOff>
    </xdr:to>
    <xdr:graphicFrame macro="">
      <xdr:nvGraphicFramePr>
        <xdr:cNvPr id="8" name="Kaavi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0.14417</cdr:x>
      <cdr:y>0.08502</cdr:y>
    </cdr:from>
    <cdr:to>
      <cdr:x>0.83514</cdr:x>
      <cdr:y>0.1359</cdr:y>
    </cdr:to>
    <cdr:sp macro="" textlink="">
      <cdr:nvSpPr>
        <cdr:cNvPr id="2" name="Tekstikehys 1"/>
        <cdr:cNvSpPr txBox="1"/>
      </cdr:nvSpPr>
      <cdr:spPr>
        <a:xfrm xmlns:a="http://schemas.openxmlformats.org/drawingml/2006/main">
          <a:off x="1266148" y="631680"/>
          <a:ext cx="6068102" cy="377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i-FI" sz="1800" b="1"/>
            <a:t>Sisämelun yöohje 74,5 dBlin ja päiväohje</a:t>
          </a:r>
          <a:r>
            <a:rPr lang="fi-FI" sz="1800" b="1" baseline="0"/>
            <a:t> 79,5 dBlin</a:t>
          </a:r>
          <a:r>
            <a:rPr lang="fi-FI" sz="1100" b="1"/>
            <a:t> </a:t>
          </a:r>
        </a:p>
        <a:p xmlns:a="http://schemas.openxmlformats.org/drawingml/2006/main">
          <a:endParaRPr lang="fi-FI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11</xdr:col>
      <xdr:colOff>190500</xdr:colOff>
      <xdr:row>36</xdr:row>
      <xdr:rowOff>38100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095500"/>
          <a:ext cx="6286500" cy="480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13</xdr:col>
      <xdr:colOff>152400</xdr:colOff>
      <xdr:row>9</xdr:row>
      <xdr:rowOff>47625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381000"/>
          <a:ext cx="7467600" cy="1381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25</xdr:col>
      <xdr:colOff>219075</xdr:colOff>
      <xdr:row>17</xdr:row>
      <xdr:rowOff>38100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34400" y="381000"/>
          <a:ext cx="6924675" cy="2895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19</xdr:row>
      <xdr:rowOff>0</xdr:rowOff>
    </xdr:from>
    <xdr:to>
      <xdr:col>26</xdr:col>
      <xdr:colOff>276225</xdr:colOff>
      <xdr:row>36</xdr:row>
      <xdr:rowOff>180975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34400" y="3619500"/>
          <a:ext cx="7591425" cy="3419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10</xdr:col>
      <xdr:colOff>581025</xdr:colOff>
      <xdr:row>68</xdr:row>
      <xdr:rowOff>104775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7048500"/>
          <a:ext cx="6067425" cy="6010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19050</xdr:rowOff>
    </xdr:from>
    <xdr:to>
      <xdr:col>13</xdr:col>
      <xdr:colOff>445558</xdr:colOff>
      <xdr:row>11</xdr:row>
      <xdr:rowOff>140758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209550"/>
          <a:ext cx="8370358" cy="20267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9525</xdr:colOff>
      <xdr:row>2</xdr:row>
      <xdr:rowOff>19050</xdr:rowOff>
    </xdr:from>
    <xdr:to>
      <xdr:col>26</xdr:col>
      <xdr:colOff>513291</xdr:colOff>
      <xdr:row>15</xdr:row>
      <xdr:rowOff>228600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53525" y="400050"/>
          <a:ext cx="7209366" cy="2838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11</xdr:col>
      <xdr:colOff>66675</xdr:colOff>
      <xdr:row>17</xdr:row>
      <xdr:rowOff>114300</xdr:rowOff>
    </xdr:from>
    <xdr:to>
      <xdr:col>26</xdr:col>
      <xdr:colOff>571500</xdr:colOff>
      <xdr:row>38</xdr:row>
      <xdr:rowOff>63500</xdr:rowOff>
    </xdr:to>
    <xdr:graphicFrame macro="">
      <xdr:nvGraphicFramePr>
        <xdr:cNvPr id="4" name="Kaavi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1</xdr:row>
      <xdr:rowOff>9525</xdr:rowOff>
    </xdr:from>
    <xdr:to>
      <xdr:col>12</xdr:col>
      <xdr:colOff>310545</xdr:colOff>
      <xdr:row>11</xdr:row>
      <xdr:rowOff>156482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00300" y="200025"/>
          <a:ext cx="5225445" cy="20519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9525</xdr:colOff>
      <xdr:row>1</xdr:row>
      <xdr:rowOff>38100</xdr:rowOff>
    </xdr:from>
    <xdr:to>
      <xdr:col>24</xdr:col>
      <xdr:colOff>194883</xdr:colOff>
      <xdr:row>10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34325" y="228600"/>
          <a:ext cx="6890958" cy="184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609599</xdr:colOff>
      <xdr:row>15</xdr:row>
      <xdr:rowOff>9524</xdr:rowOff>
    </xdr:from>
    <xdr:to>
      <xdr:col>19</xdr:col>
      <xdr:colOff>133350</xdr:colOff>
      <xdr:row>34</xdr:row>
      <xdr:rowOff>19050</xdr:rowOff>
    </xdr:to>
    <xdr:graphicFrame macro="">
      <xdr:nvGraphicFramePr>
        <xdr:cNvPr id="9" name="Kaavi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52917</xdr:colOff>
      <xdr:row>25</xdr:row>
      <xdr:rowOff>179917</xdr:rowOff>
    </xdr:from>
    <xdr:to>
      <xdr:col>11</xdr:col>
      <xdr:colOff>271992</xdr:colOff>
      <xdr:row>32</xdr:row>
      <xdr:rowOff>111125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84" y="4942417"/>
          <a:ext cx="5743575" cy="12647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359833</xdr:colOff>
      <xdr:row>6</xdr:row>
      <xdr:rowOff>74083</xdr:rowOff>
    </xdr:from>
    <xdr:to>
      <xdr:col>14</xdr:col>
      <xdr:colOff>153193</xdr:colOff>
      <xdr:row>23</xdr:row>
      <xdr:rowOff>169333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9833" y="1217083"/>
          <a:ext cx="8387027" cy="3333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10584</xdr:colOff>
      <xdr:row>35</xdr:row>
      <xdr:rowOff>42334</xdr:rowOff>
    </xdr:from>
    <xdr:to>
      <xdr:col>14</xdr:col>
      <xdr:colOff>522552</xdr:colOff>
      <xdr:row>58</xdr:row>
      <xdr:rowOff>185209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4417" y="6709834"/>
          <a:ext cx="8491802" cy="452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518583</xdr:colOff>
      <xdr:row>61</xdr:row>
      <xdr:rowOff>95250</xdr:rowOff>
    </xdr:from>
    <xdr:to>
      <xdr:col>14</xdr:col>
      <xdr:colOff>509586</xdr:colOff>
      <xdr:row>98</xdr:row>
      <xdr:rowOff>180975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8583" y="11715750"/>
          <a:ext cx="8584670" cy="7134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29</xdr:col>
      <xdr:colOff>152400</xdr:colOff>
      <xdr:row>21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63200" y="952500"/>
          <a:ext cx="7467600" cy="3181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29</xdr:col>
      <xdr:colOff>118383</xdr:colOff>
      <xdr:row>39</xdr:row>
      <xdr:rowOff>123825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63200" y="4762500"/>
          <a:ext cx="7433583" cy="279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29</xdr:col>
      <xdr:colOff>42183</xdr:colOff>
      <xdr:row>53</xdr:row>
      <xdr:rowOff>114300</xdr:rowOff>
    </xdr:to>
    <xdr:pic>
      <xdr:nvPicPr>
        <xdr:cNvPr id="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63200" y="8191500"/>
          <a:ext cx="7357383" cy="2019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29</xdr:col>
      <xdr:colOff>20411</xdr:colOff>
      <xdr:row>70</xdr:row>
      <xdr:rowOff>171450</xdr:rowOff>
    </xdr:to>
    <xdr:pic>
      <xdr:nvPicPr>
        <xdr:cNvPr id="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363200" y="11049000"/>
          <a:ext cx="7335611" cy="2457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29</xdr:col>
      <xdr:colOff>561975</xdr:colOff>
      <xdr:row>94</xdr:row>
      <xdr:rowOff>152400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63200" y="13906500"/>
          <a:ext cx="7877175" cy="415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30</xdr:col>
      <xdr:colOff>352425</xdr:colOff>
      <xdr:row>115</xdr:row>
      <xdr:rowOff>27517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63200" y="18288000"/>
          <a:ext cx="8277225" cy="432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engpielaudio.com/calculator-dba-spl.ht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D128"/>
  <sheetViews>
    <sheetView tabSelected="1" zoomScale="70" zoomScaleNormal="70" workbookViewId="0">
      <selection activeCell="A2" sqref="A2"/>
    </sheetView>
  </sheetViews>
  <sheetFormatPr defaultRowHeight="15"/>
  <cols>
    <col min="21" max="21" width="13" customWidth="1"/>
    <col min="23" max="23" width="18.85546875" customWidth="1"/>
    <col min="24" max="24" width="12" customWidth="1"/>
    <col min="25" max="25" width="12.7109375" customWidth="1"/>
    <col min="26" max="26" width="11.85546875" customWidth="1"/>
    <col min="27" max="27" width="12" customWidth="1"/>
    <col min="28" max="28" width="12.140625" customWidth="1"/>
    <col min="30" max="30" width="10" customWidth="1"/>
  </cols>
  <sheetData>
    <row r="2" spans="1:30" ht="23.25">
      <c r="A2" s="92"/>
      <c r="C2" s="66" t="s">
        <v>44</v>
      </c>
    </row>
    <row r="3" spans="1:30" ht="23.25">
      <c r="A3" s="92"/>
      <c r="C3" s="66"/>
    </row>
    <row r="4" spans="1:30" ht="23.25">
      <c r="A4" s="92"/>
      <c r="C4" s="66" t="s">
        <v>78</v>
      </c>
    </row>
    <row r="8" spans="1:30" ht="23.25">
      <c r="U8" s="95" t="s">
        <v>55</v>
      </c>
    </row>
    <row r="11" spans="1:30">
      <c r="U11" s="16"/>
      <c r="V11" s="17"/>
      <c r="W11" s="17"/>
      <c r="X11" s="17"/>
      <c r="Y11" s="17"/>
      <c r="Z11" s="17"/>
      <c r="AA11" s="17"/>
      <c r="AB11" s="17"/>
      <c r="AC11" s="17"/>
      <c r="AD11" s="18"/>
    </row>
    <row r="12" spans="1:30" ht="23.25">
      <c r="U12" s="100" t="s">
        <v>45</v>
      </c>
      <c r="V12" s="101"/>
      <c r="W12" s="101"/>
      <c r="X12" s="101" t="s">
        <v>56</v>
      </c>
      <c r="Y12" s="101"/>
      <c r="Z12" s="19"/>
      <c r="AD12" s="32"/>
    </row>
    <row r="13" spans="1:30" ht="23.25">
      <c r="U13" s="100"/>
      <c r="V13" s="101"/>
      <c r="W13" s="101"/>
      <c r="X13" s="101"/>
      <c r="Y13" s="101"/>
      <c r="Z13" s="101"/>
      <c r="AA13" s="101"/>
      <c r="AB13" s="101"/>
      <c r="AC13" s="19"/>
      <c r="AD13" s="32"/>
    </row>
    <row r="14" spans="1:30" ht="23.25">
      <c r="U14" s="100"/>
      <c r="V14" s="101"/>
      <c r="W14" s="101" t="s">
        <v>46</v>
      </c>
      <c r="X14" s="102">
        <v>106.6</v>
      </c>
      <c r="Y14" s="84" t="s">
        <v>47</v>
      </c>
      <c r="Z14" s="102"/>
      <c r="AA14" s="103"/>
      <c r="AB14" s="104"/>
      <c r="AC14" s="19"/>
      <c r="AD14" s="32"/>
    </row>
    <row r="15" spans="1:30" ht="23.25">
      <c r="U15" s="100"/>
      <c r="V15" s="101"/>
      <c r="W15" s="19"/>
      <c r="X15" s="101">
        <v>104.9</v>
      </c>
      <c r="Y15" s="105" t="s">
        <v>48</v>
      </c>
      <c r="Z15" s="104"/>
      <c r="AA15" s="134">
        <v>1</v>
      </c>
      <c r="AB15" s="104"/>
      <c r="AC15" s="19"/>
      <c r="AD15" s="32"/>
    </row>
    <row r="16" spans="1:30" ht="23.25">
      <c r="U16" s="100"/>
      <c r="V16" s="101"/>
      <c r="W16" s="101"/>
      <c r="X16" s="104">
        <v>103.2</v>
      </c>
      <c r="Y16" s="4" t="s">
        <v>48</v>
      </c>
      <c r="Z16" s="101"/>
      <c r="AA16" s="135">
        <v>1</v>
      </c>
      <c r="AB16" s="101"/>
      <c r="AC16" s="19"/>
      <c r="AD16" s="32"/>
    </row>
    <row r="17" spans="21:30" ht="23.25">
      <c r="U17" s="100"/>
      <c r="V17" s="101"/>
      <c r="W17" s="101"/>
      <c r="X17" s="101">
        <v>101.1</v>
      </c>
      <c r="Y17" s="4" t="s">
        <v>49</v>
      </c>
      <c r="Z17" s="101"/>
      <c r="AA17" s="135">
        <v>1</v>
      </c>
      <c r="AB17" s="101"/>
      <c r="AC17" s="19"/>
      <c r="AD17" s="32"/>
    </row>
    <row r="18" spans="21:30" ht="23.25">
      <c r="U18" s="100"/>
      <c r="V18" s="101"/>
      <c r="W18" s="101"/>
      <c r="X18" s="101">
        <v>93.9</v>
      </c>
      <c r="Y18" s="4" t="s">
        <v>49</v>
      </c>
      <c r="Z18" s="101"/>
      <c r="AA18" s="136">
        <v>1</v>
      </c>
      <c r="AB18" s="101"/>
      <c r="AC18" s="19"/>
      <c r="AD18" s="32"/>
    </row>
    <row r="19" spans="21:30" ht="23.25">
      <c r="U19" s="100"/>
      <c r="V19" s="101"/>
      <c r="W19" s="101"/>
      <c r="X19" s="101"/>
      <c r="Y19" s="101"/>
      <c r="Z19" s="101"/>
      <c r="AA19" s="101"/>
      <c r="AB19" s="101"/>
      <c r="AC19" s="19"/>
      <c r="AD19" s="32"/>
    </row>
    <row r="20" spans="21:30" ht="23.25">
      <c r="U20" s="100"/>
      <c r="V20" s="101"/>
      <c r="W20" s="101" t="s">
        <v>50</v>
      </c>
      <c r="X20" s="104">
        <f>(10*LOG(10^(X14/10)+10^(X15/10)*AA15+10^(X16/10)*AA16+10^(X17/10)*AA17+10^(X18/10)*AA18))</f>
        <v>110.52470540278703</v>
      </c>
      <c r="Y20" s="101" t="s">
        <v>51</v>
      </c>
      <c r="Z20" s="101"/>
      <c r="AA20" s="101"/>
      <c r="AB20" s="108">
        <f>(X20-X14)</f>
        <v>3.9247054027870405</v>
      </c>
      <c r="AC20" s="109" t="s">
        <v>8</v>
      </c>
      <c r="AD20" s="32"/>
    </row>
    <row r="21" spans="21:30" ht="23.25">
      <c r="U21" s="106"/>
      <c r="V21" s="107"/>
      <c r="W21" s="107"/>
      <c r="X21" s="107"/>
      <c r="Y21" s="107"/>
      <c r="Z21" s="107"/>
      <c r="AA21" s="107"/>
      <c r="AB21" s="107"/>
      <c r="AC21" s="21"/>
      <c r="AD21" s="22"/>
    </row>
    <row r="22" spans="21:30" ht="23.25">
      <c r="U22" s="66"/>
      <c r="V22" s="66"/>
      <c r="W22" s="66"/>
      <c r="X22" s="66"/>
      <c r="Y22" s="66"/>
      <c r="Z22" s="66"/>
      <c r="AA22" s="66"/>
      <c r="AB22" s="66"/>
    </row>
    <row r="40" spans="3:21" ht="23.25">
      <c r="C40" s="66" t="s">
        <v>84</v>
      </c>
    </row>
    <row r="41" spans="3:21" ht="23.25">
      <c r="C41" s="66" t="s">
        <v>92</v>
      </c>
    </row>
    <row r="43" spans="3:21" ht="23.25">
      <c r="C43" s="66" t="s">
        <v>82</v>
      </c>
    </row>
    <row r="44" spans="3:21" ht="23.25">
      <c r="C44" s="66"/>
    </row>
    <row r="46" spans="3:21" ht="23.25">
      <c r="U46" s="66" t="s">
        <v>93</v>
      </c>
    </row>
    <row r="47" spans="3:21" ht="23.25">
      <c r="U47" s="66" t="s">
        <v>85</v>
      </c>
    </row>
    <row r="52" spans="21:27" ht="23.25">
      <c r="U52" s="118" t="s">
        <v>71</v>
      </c>
      <c r="V52" s="119"/>
      <c r="W52" s="17"/>
      <c r="X52" s="17"/>
      <c r="Y52" s="17"/>
      <c r="Z52" s="18"/>
    </row>
    <row r="53" spans="21:27" ht="23.25">
      <c r="U53" s="100"/>
      <c r="V53" s="101"/>
      <c r="W53" s="19"/>
      <c r="X53" s="19"/>
      <c r="Y53" s="19"/>
      <c r="Z53" s="32"/>
    </row>
    <row r="54" spans="21:27" ht="23.25">
      <c r="U54" s="120" t="s">
        <v>58</v>
      </c>
      <c r="V54" s="137">
        <v>0</v>
      </c>
      <c r="W54" s="19"/>
      <c r="X54" s="131" t="s">
        <v>76</v>
      </c>
      <c r="Y54" s="137">
        <v>0</v>
      </c>
      <c r="Z54" s="32"/>
      <c r="AA54" s="66" t="s">
        <v>90</v>
      </c>
    </row>
    <row r="55" spans="21:27" ht="23.25">
      <c r="U55" s="120" t="s">
        <v>59</v>
      </c>
      <c r="V55" s="137">
        <v>0</v>
      </c>
      <c r="W55" s="19"/>
      <c r="X55" s="131" t="s">
        <v>76</v>
      </c>
      <c r="Y55" s="137">
        <v>0</v>
      </c>
      <c r="Z55" s="32"/>
    </row>
    <row r="56" spans="21:27" ht="23.25">
      <c r="U56" s="120" t="s">
        <v>60</v>
      </c>
      <c r="V56" s="137">
        <v>0</v>
      </c>
      <c r="W56" s="19"/>
      <c r="X56" s="131" t="s">
        <v>76</v>
      </c>
      <c r="Y56" s="137">
        <v>0</v>
      </c>
      <c r="Z56" s="32"/>
    </row>
    <row r="57" spans="21:27" ht="23.25">
      <c r="U57" s="120" t="s">
        <v>61</v>
      </c>
      <c r="V57" s="137">
        <v>0</v>
      </c>
      <c r="W57" s="19"/>
      <c r="X57" s="131" t="s">
        <v>76</v>
      </c>
      <c r="Y57" s="137">
        <v>0</v>
      </c>
      <c r="Z57" s="32"/>
    </row>
    <row r="58" spans="21:27" ht="23.25">
      <c r="U58" s="120" t="s">
        <v>62</v>
      </c>
      <c r="V58" s="137">
        <v>0</v>
      </c>
      <c r="W58" s="19"/>
      <c r="X58" s="131" t="s">
        <v>76</v>
      </c>
      <c r="Y58" s="137">
        <v>0</v>
      </c>
      <c r="Z58" s="32"/>
    </row>
    <row r="59" spans="21:27" ht="23.25">
      <c r="U59" s="120" t="s">
        <v>63</v>
      </c>
      <c r="V59" s="137">
        <v>0</v>
      </c>
      <c r="W59" s="19"/>
      <c r="X59" s="131" t="s">
        <v>76</v>
      </c>
      <c r="Y59" s="137">
        <v>0</v>
      </c>
      <c r="Z59" s="32"/>
    </row>
    <row r="60" spans="21:27" ht="23.25">
      <c r="U60" s="120" t="s">
        <v>64</v>
      </c>
      <c r="V60" s="137">
        <v>0</v>
      </c>
      <c r="W60" s="19"/>
      <c r="X60" s="131" t="s">
        <v>76</v>
      </c>
      <c r="Y60" s="137">
        <v>0</v>
      </c>
      <c r="Z60" s="32"/>
    </row>
    <row r="61" spans="21:27" ht="23.25">
      <c r="U61" s="120" t="s">
        <v>65</v>
      </c>
      <c r="V61" s="137">
        <v>0</v>
      </c>
      <c r="W61" s="19"/>
      <c r="X61" s="19"/>
      <c r="Y61" s="19"/>
      <c r="Z61" s="32"/>
    </row>
    <row r="62" spans="21:27" ht="23.25">
      <c r="U62" s="120" t="s">
        <v>66</v>
      </c>
      <c r="V62" s="137">
        <v>0</v>
      </c>
      <c r="W62" s="19"/>
      <c r="X62" s="19"/>
      <c r="Y62" s="19"/>
      <c r="Z62" s="32"/>
    </row>
    <row r="63" spans="21:27" ht="23.25">
      <c r="U63" s="120" t="s">
        <v>67</v>
      </c>
      <c r="V63" s="137">
        <v>0</v>
      </c>
      <c r="W63" s="19"/>
      <c r="X63" s="19"/>
      <c r="Y63" s="19"/>
      <c r="Z63" s="32"/>
    </row>
    <row r="64" spans="21:27" ht="23.25">
      <c r="U64" s="120" t="s">
        <v>68</v>
      </c>
      <c r="V64" s="137">
        <v>0</v>
      </c>
      <c r="W64" s="19"/>
      <c r="X64" s="19"/>
      <c r="Y64" s="19"/>
      <c r="Z64" s="32"/>
    </row>
    <row r="65" spans="21:27" ht="23.25">
      <c r="U65" s="121" t="s">
        <v>69</v>
      </c>
      <c r="V65" s="138">
        <v>0</v>
      </c>
      <c r="W65" s="21"/>
      <c r="X65" s="21"/>
      <c r="Y65" s="21"/>
      <c r="Z65" s="22"/>
    </row>
    <row r="66" spans="21:27">
      <c r="U66" s="122"/>
      <c r="V66" s="17"/>
      <c r="W66" s="17"/>
      <c r="X66" s="17"/>
      <c r="Y66" s="17"/>
      <c r="Z66" s="122"/>
    </row>
    <row r="67" spans="21:27" ht="23.25">
      <c r="U67" s="124">
        <f>(U102)</f>
        <v>2200</v>
      </c>
      <c r="V67" s="137">
        <v>1</v>
      </c>
      <c r="W67" s="101" t="s">
        <v>81</v>
      </c>
      <c r="X67" s="19"/>
      <c r="Y67" s="19"/>
      <c r="Z67" s="139">
        <v>0</v>
      </c>
      <c r="AA67" s="66" t="s">
        <v>90</v>
      </c>
    </row>
    <row r="68" spans="21:27">
      <c r="U68" s="123"/>
      <c r="V68" s="21"/>
      <c r="W68" s="21"/>
      <c r="X68" s="21"/>
      <c r="Y68" s="21"/>
      <c r="Z68" s="123"/>
    </row>
    <row r="71" spans="21:27" ht="23.25">
      <c r="U71" s="129" t="s">
        <v>77</v>
      </c>
      <c r="V71" s="130"/>
      <c r="W71" s="130"/>
      <c r="X71" s="18"/>
      <c r="Y71" s="19"/>
      <c r="Z71" s="19"/>
      <c r="AA71" s="19"/>
    </row>
    <row r="72" spans="21:27" ht="23.25">
      <c r="U72" s="100"/>
      <c r="V72" s="19"/>
      <c r="W72" s="19"/>
      <c r="X72" s="32"/>
      <c r="Y72" s="19"/>
      <c r="Z72" s="19"/>
      <c r="AA72" s="19"/>
    </row>
    <row r="73" spans="21:27" ht="23.25">
      <c r="U73" s="100" t="s">
        <v>74</v>
      </c>
      <c r="V73" s="19"/>
      <c r="W73" s="132">
        <v>17</v>
      </c>
      <c r="X73" s="126" t="s">
        <v>75</v>
      </c>
      <c r="Y73" s="19"/>
      <c r="Z73" s="101"/>
      <c r="AA73" s="101"/>
    </row>
    <row r="74" spans="21:27" ht="23.25">
      <c r="U74" s="127" t="s">
        <v>1</v>
      </c>
      <c r="V74" s="19"/>
      <c r="W74" s="19"/>
      <c r="X74" s="32"/>
      <c r="Y74" s="19"/>
      <c r="Z74" s="101"/>
      <c r="AA74" s="101"/>
    </row>
    <row r="75" spans="21:27" ht="23.25">
      <c r="U75" s="100">
        <v>20</v>
      </c>
      <c r="V75" s="19"/>
      <c r="W75" s="128">
        <f>(20*LOG(U75*W73)-49)</f>
        <v>1.6295783408451001</v>
      </c>
      <c r="X75" s="126" t="s">
        <v>8</v>
      </c>
      <c r="Y75" s="19"/>
      <c r="Z75" s="128"/>
      <c r="AA75" s="101"/>
    </row>
    <row r="76" spans="21:27" ht="23.25">
      <c r="U76" s="100">
        <v>25</v>
      </c>
      <c r="V76" s="19"/>
      <c r="W76" s="128">
        <f>(20*LOG(U76*W73)-49)</f>
        <v>3.567778601006232</v>
      </c>
      <c r="X76" s="126" t="s">
        <v>8</v>
      </c>
      <c r="Y76" s="19"/>
      <c r="Z76" s="128"/>
      <c r="AA76" s="101"/>
    </row>
    <row r="77" spans="21:27" ht="23.25">
      <c r="U77" s="100">
        <v>31.5</v>
      </c>
      <c r="V77" s="19"/>
      <c r="W77" s="128">
        <f>(20*LOG(U77*W73)-49)</f>
        <v>5.5751895033574925</v>
      </c>
      <c r="X77" s="126" t="s">
        <v>8</v>
      </c>
      <c r="Y77" s="19"/>
      <c r="Z77" s="128"/>
      <c r="AA77" s="101"/>
    </row>
    <row r="78" spans="21:27" ht="23.25">
      <c r="U78" s="100">
        <v>63</v>
      </c>
      <c r="V78" s="19"/>
      <c r="W78" s="128">
        <f>(20*LOG(U78*W73)-49)</f>
        <v>11.595789416637118</v>
      </c>
      <c r="X78" s="126" t="s">
        <v>8</v>
      </c>
      <c r="Y78" s="19"/>
      <c r="Z78" s="128"/>
      <c r="AA78" s="101"/>
    </row>
    <row r="79" spans="21:27" ht="23.25">
      <c r="U79" s="100">
        <v>125</v>
      </c>
      <c r="V79" s="19"/>
      <c r="W79" s="128">
        <f>(20*LOG(U79*W73)-49)</f>
        <v>17.547178687726614</v>
      </c>
      <c r="X79" s="126" t="s">
        <v>8</v>
      </c>
      <c r="Y79" s="19"/>
      <c r="Z79" s="128"/>
      <c r="AA79" s="101"/>
    </row>
    <row r="80" spans="21:27" ht="23.25">
      <c r="U80" s="100">
        <v>250</v>
      </c>
      <c r="V80" s="19"/>
      <c r="W80" s="128">
        <f>(20*LOG(U80*W73)-49)</f>
        <v>23.567778601006239</v>
      </c>
      <c r="X80" s="126" t="s">
        <v>8</v>
      </c>
      <c r="Y80" s="19"/>
      <c r="Z80" s="128"/>
      <c r="AA80" s="101"/>
    </row>
    <row r="81" spans="3:30" ht="23.25">
      <c r="U81" s="106"/>
      <c r="V81" s="21"/>
      <c r="W81" s="21"/>
      <c r="X81" s="22"/>
      <c r="Y81" s="19"/>
      <c r="Z81" s="19"/>
      <c r="AA81" s="19"/>
    </row>
    <row r="87" spans="3:30" ht="23.25">
      <c r="C87" s="66" t="s">
        <v>86</v>
      </c>
    </row>
    <row r="88" spans="3:30" ht="23.25">
      <c r="C88" s="66" t="s">
        <v>83</v>
      </c>
    </row>
    <row r="89" spans="3:30" ht="23.25">
      <c r="C89" s="66"/>
    </row>
    <row r="90" spans="3:30" ht="23.25">
      <c r="C90" s="66" t="s">
        <v>79</v>
      </c>
    </row>
    <row r="91" spans="3:30" ht="23.25">
      <c r="C91" s="66" t="s">
        <v>94</v>
      </c>
      <c r="S91" s="96" t="s">
        <v>88</v>
      </c>
      <c r="T91" s="97"/>
      <c r="U91" s="97"/>
      <c r="V91" s="97"/>
      <c r="W91" s="97"/>
      <c r="X91" s="97"/>
      <c r="Y91" s="97"/>
      <c r="Z91" s="97"/>
      <c r="AA91" s="97"/>
      <c r="AB91" s="97"/>
      <c r="AC91" s="98"/>
    </row>
    <row r="92" spans="3:30" ht="23.25">
      <c r="C92" s="66" t="s">
        <v>95</v>
      </c>
    </row>
    <row r="93" spans="3:30" ht="23.25">
      <c r="S93" s="99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8"/>
    </row>
    <row r="94" spans="3:30" ht="23.25">
      <c r="C94" s="66" t="s">
        <v>87</v>
      </c>
    </row>
    <row r="95" spans="3:30" ht="23.25">
      <c r="C95" s="66" t="s">
        <v>96</v>
      </c>
    </row>
    <row r="96" spans="3:30" ht="23.25">
      <c r="C96" s="66" t="s">
        <v>91</v>
      </c>
    </row>
    <row r="97" spans="19:30" ht="23.25">
      <c r="U97" s="118" t="s">
        <v>80</v>
      </c>
      <c r="V97" s="18"/>
    </row>
    <row r="98" spans="19:30">
      <c r="U98" s="20"/>
      <c r="V98" s="22"/>
    </row>
    <row r="99" spans="19:30">
      <c r="S99" s="16"/>
      <c r="T99" s="17"/>
      <c r="U99" s="17"/>
      <c r="V99" s="17"/>
      <c r="W99" s="18"/>
    </row>
    <row r="100" spans="19:30" ht="23.25">
      <c r="S100" s="100" t="s">
        <v>52</v>
      </c>
      <c r="T100" s="19"/>
      <c r="U100" s="19"/>
      <c r="V100" s="19"/>
      <c r="W100" s="32"/>
    </row>
    <row r="101" spans="19:30" ht="23.25">
      <c r="S101" s="100"/>
      <c r="T101" s="19"/>
      <c r="U101" s="19"/>
      <c r="V101" s="19"/>
      <c r="W101" s="32"/>
    </row>
    <row r="102" spans="19:30" ht="23.25">
      <c r="S102" s="100" t="s">
        <v>53</v>
      </c>
      <c r="T102" s="19"/>
      <c r="U102" s="133">
        <v>2200</v>
      </c>
      <c r="V102" s="101" t="s">
        <v>54</v>
      </c>
      <c r="W102" s="32"/>
      <c r="Y102" s="66" t="s">
        <v>89</v>
      </c>
    </row>
    <row r="103" spans="19:30">
      <c r="S103" s="20"/>
      <c r="T103" s="21"/>
      <c r="U103" s="21"/>
      <c r="V103" s="21"/>
      <c r="W103" s="22"/>
    </row>
    <row r="107" spans="19:30" ht="23.25">
      <c r="S107" s="99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8"/>
    </row>
    <row r="112" spans="19:30" ht="23.25">
      <c r="U112" s="118" t="s">
        <v>71</v>
      </c>
      <c r="V112" s="119"/>
      <c r="W112" s="17"/>
      <c r="X112" s="17"/>
      <c r="Y112" s="17"/>
      <c r="Z112" s="18"/>
    </row>
    <row r="113" spans="21:27" ht="23.25">
      <c r="U113" s="100"/>
      <c r="V113" s="101"/>
      <c r="W113" s="19"/>
      <c r="X113" s="19"/>
      <c r="Y113" s="19"/>
      <c r="Z113" s="32"/>
    </row>
    <row r="114" spans="21:27" ht="23.25">
      <c r="U114" s="120" t="s">
        <v>58</v>
      </c>
      <c r="V114" s="137">
        <v>0</v>
      </c>
      <c r="W114" s="19"/>
      <c r="X114" s="131" t="s">
        <v>76</v>
      </c>
      <c r="Y114" s="137">
        <v>0</v>
      </c>
      <c r="Z114" s="32"/>
      <c r="AA114" s="66" t="s">
        <v>90</v>
      </c>
    </row>
    <row r="115" spans="21:27" ht="23.25">
      <c r="U115" s="120" t="s">
        <v>59</v>
      </c>
      <c r="V115" s="137">
        <v>0</v>
      </c>
      <c r="W115" s="19"/>
      <c r="X115" s="131" t="s">
        <v>76</v>
      </c>
      <c r="Y115" s="137">
        <v>0</v>
      </c>
      <c r="Z115" s="32"/>
    </row>
    <row r="116" spans="21:27" ht="23.25">
      <c r="U116" s="120" t="s">
        <v>60</v>
      </c>
      <c r="V116" s="137">
        <v>0</v>
      </c>
      <c r="W116" s="19"/>
      <c r="X116" s="131" t="s">
        <v>76</v>
      </c>
      <c r="Y116" s="137">
        <v>0</v>
      </c>
      <c r="Z116" s="32"/>
    </row>
    <row r="117" spans="21:27" ht="23.25">
      <c r="U117" s="120" t="s">
        <v>61</v>
      </c>
      <c r="V117" s="137">
        <v>0</v>
      </c>
      <c r="W117" s="19"/>
      <c r="X117" s="131" t="s">
        <v>76</v>
      </c>
      <c r="Y117" s="137">
        <v>0</v>
      </c>
      <c r="Z117" s="32"/>
    </row>
    <row r="118" spans="21:27" ht="23.25">
      <c r="U118" s="120" t="s">
        <v>62</v>
      </c>
      <c r="V118" s="137">
        <v>0</v>
      </c>
      <c r="W118" s="19"/>
      <c r="X118" s="131" t="s">
        <v>76</v>
      </c>
      <c r="Y118" s="137">
        <v>0</v>
      </c>
      <c r="Z118" s="32"/>
    </row>
    <row r="119" spans="21:27" ht="23.25">
      <c r="U119" s="120" t="s">
        <v>63</v>
      </c>
      <c r="V119" s="137">
        <v>0</v>
      </c>
      <c r="W119" s="19"/>
      <c r="X119" s="131" t="s">
        <v>76</v>
      </c>
      <c r="Y119" s="137">
        <v>0</v>
      </c>
      <c r="Z119" s="32"/>
    </row>
    <row r="120" spans="21:27" ht="23.25">
      <c r="U120" s="120" t="s">
        <v>64</v>
      </c>
      <c r="V120" s="137">
        <v>0</v>
      </c>
      <c r="W120" s="19"/>
      <c r="X120" s="131" t="s">
        <v>76</v>
      </c>
      <c r="Y120" s="137">
        <v>0</v>
      </c>
      <c r="Z120" s="32"/>
    </row>
    <row r="121" spans="21:27" ht="23.25">
      <c r="U121" s="120" t="s">
        <v>65</v>
      </c>
      <c r="V121" s="137">
        <v>0</v>
      </c>
      <c r="W121" s="19"/>
      <c r="X121" s="19"/>
      <c r="Y121" s="19"/>
      <c r="Z121" s="32"/>
    </row>
    <row r="122" spans="21:27" ht="23.25">
      <c r="U122" s="120" t="s">
        <v>66</v>
      </c>
      <c r="V122" s="137">
        <v>0</v>
      </c>
      <c r="W122" s="19"/>
      <c r="X122" s="19"/>
      <c r="Y122" s="19"/>
      <c r="Z122" s="32"/>
    </row>
    <row r="123" spans="21:27" ht="23.25">
      <c r="U123" s="120" t="s">
        <v>67</v>
      </c>
      <c r="V123" s="137">
        <v>0</v>
      </c>
      <c r="W123" s="19"/>
      <c r="X123" s="19"/>
      <c r="Y123" s="19"/>
      <c r="Z123" s="32"/>
    </row>
    <row r="124" spans="21:27" ht="23.25">
      <c r="U124" s="120" t="s">
        <v>68</v>
      </c>
      <c r="V124" s="137">
        <v>0</v>
      </c>
      <c r="W124" s="19"/>
      <c r="X124" s="19"/>
      <c r="Y124" s="19"/>
      <c r="Z124" s="32"/>
    </row>
    <row r="125" spans="21:27" ht="23.25">
      <c r="U125" s="121" t="s">
        <v>69</v>
      </c>
      <c r="V125" s="138">
        <v>0</v>
      </c>
      <c r="W125" s="21"/>
      <c r="X125" s="21"/>
      <c r="Y125" s="21"/>
      <c r="Z125" s="22"/>
    </row>
    <row r="126" spans="21:27">
      <c r="U126" s="122"/>
      <c r="V126" s="17"/>
      <c r="W126" s="17"/>
      <c r="X126" s="17"/>
      <c r="Y126" s="17"/>
      <c r="Z126" s="122"/>
    </row>
    <row r="127" spans="21:27" ht="23.25">
      <c r="U127" s="124">
        <f>(U102)</f>
        <v>2200</v>
      </c>
      <c r="V127" s="137">
        <v>1</v>
      </c>
      <c r="W127" s="101" t="s">
        <v>81</v>
      </c>
      <c r="X127" s="19"/>
      <c r="Y127" s="19"/>
      <c r="Z127" s="139">
        <v>0</v>
      </c>
      <c r="AA127" s="66" t="s">
        <v>90</v>
      </c>
    </row>
    <row r="128" spans="21:27">
      <c r="U128" s="123"/>
      <c r="V128" s="21"/>
      <c r="W128" s="21"/>
      <c r="X128" s="21"/>
      <c r="Y128" s="21"/>
      <c r="Z128" s="123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6:AD274"/>
  <sheetViews>
    <sheetView zoomScaleNormal="100" workbookViewId="0"/>
  </sheetViews>
  <sheetFormatPr defaultRowHeight="15"/>
  <cols>
    <col min="2" max="2" width="12.140625" customWidth="1"/>
    <col min="4" max="4" width="12.42578125" customWidth="1"/>
    <col min="5" max="5" width="9.140625" customWidth="1"/>
    <col min="6" max="6" width="15" customWidth="1"/>
    <col min="9" max="9" width="15.7109375" customWidth="1"/>
    <col min="11" max="11" width="14.85546875" customWidth="1"/>
    <col min="14" max="14" width="12.28515625" customWidth="1"/>
    <col min="15" max="15" width="16.7109375" customWidth="1"/>
  </cols>
  <sheetData>
    <row r="16" spans="12:16">
      <c r="L16" s="85" t="s">
        <v>24</v>
      </c>
      <c r="M16" s="86" t="s">
        <v>4</v>
      </c>
      <c r="N16" s="86" t="s">
        <v>2</v>
      </c>
      <c r="O16" s="87" t="s">
        <v>3</v>
      </c>
      <c r="P16" s="115" t="s">
        <v>57</v>
      </c>
    </row>
    <row r="17" spans="2:22" ht="18.75">
      <c r="B17" s="61" t="s">
        <v>1</v>
      </c>
      <c r="C17" s="62" t="s">
        <v>21</v>
      </c>
      <c r="D17" s="63"/>
      <c r="E17" s="17"/>
      <c r="F17" s="17"/>
      <c r="G17" s="64" t="s">
        <v>1</v>
      </c>
      <c r="H17" s="62" t="s">
        <v>22</v>
      </c>
      <c r="I17" s="63"/>
      <c r="J17" s="18"/>
      <c r="L17" s="30">
        <v>100</v>
      </c>
      <c r="M17" s="88">
        <v>80.400000000000006</v>
      </c>
      <c r="N17" s="88">
        <v>54.7</v>
      </c>
      <c r="O17" s="89">
        <v>76.099999999999994</v>
      </c>
      <c r="P17" s="116">
        <v>35</v>
      </c>
      <c r="V17" s="71"/>
    </row>
    <row r="18" spans="2:22" ht="18.75">
      <c r="B18" s="56"/>
      <c r="C18" s="31"/>
      <c r="D18" s="3"/>
      <c r="E18" s="19"/>
      <c r="F18" s="19"/>
      <c r="G18" s="19"/>
      <c r="H18" s="19"/>
      <c r="I18" s="19"/>
      <c r="J18" s="32"/>
      <c r="L18" s="30">
        <v>300</v>
      </c>
      <c r="M18" s="88">
        <f>(O51)</f>
        <v>74.818275394220578</v>
      </c>
      <c r="N18" s="88">
        <f>(V51)</f>
        <v>48.24270858987817</v>
      </c>
      <c r="O18" s="89">
        <f>(Y51)</f>
        <v>70.422352891699546</v>
      </c>
      <c r="P18" s="116">
        <v>35</v>
      </c>
    </row>
    <row r="19" spans="2:22" ht="18.75">
      <c r="B19" s="78">
        <v>20</v>
      </c>
      <c r="C19" s="110">
        <f>(73+Graafit!AB20)</f>
        <v>76.92470540278704</v>
      </c>
      <c r="D19" s="111">
        <f t="shared" ref="D19:D29" si="0">(C19/10)</f>
        <v>7.6924705402787037</v>
      </c>
      <c r="E19" s="19" t="s">
        <v>5</v>
      </c>
      <c r="F19" s="19"/>
      <c r="G19" s="58">
        <v>20</v>
      </c>
      <c r="H19" s="105">
        <f>(C19-'Muunnokset lin A C'!$D$27)</f>
        <v>127.32470540278703</v>
      </c>
      <c r="I19" s="111">
        <f t="shared" ref="I19:I29" si="1">(H19/10)</f>
        <v>12.732470540278703</v>
      </c>
      <c r="J19" s="32"/>
      <c r="L19" s="30">
        <v>500</v>
      </c>
      <c r="M19" s="88">
        <f>(O66)</f>
        <v>70.371593494872101</v>
      </c>
      <c r="N19" s="88">
        <f>(V66)</f>
        <v>43.197478036667356</v>
      </c>
      <c r="O19" s="89">
        <f>(Y66)</f>
        <v>65.968280867802321</v>
      </c>
      <c r="P19" s="116">
        <v>35</v>
      </c>
    </row>
    <row r="20" spans="2:22" ht="18.75">
      <c r="B20" s="79">
        <v>25</v>
      </c>
      <c r="C20" s="110">
        <f>(74.2+Graafit!AB20)</f>
        <v>78.124705402787043</v>
      </c>
      <c r="D20" s="111">
        <f t="shared" si="0"/>
        <v>7.8124705402787047</v>
      </c>
      <c r="E20" s="19" t="s">
        <v>5</v>
      </c>
      <c r="F20" s="19"/>
      <c r="G20" s="4">
        <v>25</v>
      </c>
      <c r="H20" s="105">
        <f>(C20-'Muunnokset lin A C'!$D$28)</f>
        <v>122.92470540278704</v>
      </c>
      <c r="I20" s="111">
        <f t="shared" si="1"/>
        <v>12.292470540278703</v>
      </c>
      <c r="J20" s="32"/>
      <c r="L20" s="30">
        <v>700</v>
      </c>
      <c r="M20" s="88">
        <f>(O82)</f>
        <v>67.439649077731772</v>
      </c>
      <c r="N20" s="88">
        <f>(V82)</f>
        <v>39.768614158449147</v>
      </c>
      <c r="O20" s="89">
        <f>(Y82)</f>
        <v>63.029441469612884</v>
      </c>
      <c r="P20" s="116">
        <v>35</v>
      </c>
    </row>
    <row r="21" spans="2:22" ht="18.75">
      <c r="B21" s="77">
        <v>31.5</v>
      </c>
      <c r="C21" s="112">
        <f>(77.7+Graafit!AB20)</f>
        <v>81.624705402787043</v>
      </c>
      <c r="D21" s="111">
        <f t="shared" si="0"/>
        <v>8.1624705402787043</v>
      </c>
      <c r="E21" s="19"/>
      <c r="F21" s="19"/>
      <c r="G21" s="4">
        <v>31.5</v>
      </c>
      <c r="H21" s="105">
        <f>(C21-'Muunnokset lin A C'!$D$29)</f>
        <v>121.12470540278704</v>
      </c>
      <c r="I21" s="111">
        <f t="shared" si="1"/>
        <v>12.112470540278704</v>
      </c>
      <c r="J21" s="32"/>
      <c r="L21" s="30">
        <v>900</v>
      </c>
      <c r="M21" s="88">
        <f>(O98)</f>
        <v>65.247597206458266</v>
      </c>
      <c r="N21" s="88">
        <f>(V98)</f>
        <v>37.148989893772544</v>
      </c>
      <c r="O21" s="89">
        <f>(Y98)</f>
        <v>60.830837365211543</v>
      </c>
      <c r="P21" s="116">
        <v>35</v>
      </c>
    </row>
    <row r="22" spans="2:22" ht="18.75">
      <c r="B22" s="77">
        <v>63</v>
      </c>
      <c r="C22" s="112">
        <f>(90.4+Graafit!AB20)</f>
        <v>94.324705402787046</v>
      </c>
      <c r="D22" s="111">
        <f t="shared" si="0"/>
        <v>9.4324705402787039</v>
      </c>
      <c r="E22" s="19"/>
      <c r="F22" s="19"/>
      <c r="G22" s="4">
        <v>63</v>
      </c>
      <c r="H22" s="105">
        <f>(C22-'Muunnokset lin A C'!$D$32)</f>
        <v>120.52470540278705</v>
      </c>
      <c r="I22" s="111">
        <f t="shared" si="1"/>
        <v>12.052470540278705</v>
      </c>
      <c r="J22" s="32"/>
      <c r="L22" s="30">
        <v>1100</v>
      </c>
      <c r="M22" s="88">
        <f>(O114)</f>
        <v>63.495599591962666</v>
      </c>
      <c r="N22" s="88">
        <f>(V114)</f>
        <v>35.022266143828126</v>
      </c>
      <c r="O22" s="89">
        <f>(Y114)</f>
        <v>59.072547352654453</v>
      </c>
      <c r="P22" s="116">
        <v>35</v>
      </c>
    </row>
    <row r="23" spans="2:22" ht="18.75">
      <c r="B23" s="77">
        <v>125</v>
      </c>
      <c r="C23" s="112">
        <f>(95.9+Graafit!AB20)</f>
        <v>99.824705402787046</v>
      </c>
      <c r="D23" s="111">
        <f t="shared" si="0"/>
        <v>9.9824705402787046</v>
      </c>
      <c r="E23" s="19"/>
      <c r="F23" s="19"/>
      <c r="G23" s="4">
        <v>125</v>
      </c>
      <c r="H23" s="105">
        <f>(C23-'Muunnokset lin A C'!$D$35)</f>
        <v>116.02470540278705</v>
      </c>
      <c r="I23" s="111">
        <f t="shared" si="1"/>
        <v>11.602470540278706</v>
      </c>
      <c r="J23" s="32"/>
      <c r="L23" s="30">
        <v>1300</v>
      </c>
      <c r="M23" s="88">
        <f>(O129)</f>
        <v>62.035727561651022</v>
      </c>
      <c r="N23" s="88">
        <f>(V129)</f>
        <v>33.229767062858066</v>
      </c>
      <c r="O23" s="89">
        <f>(Y129)</f>
        <v>57.606589731968711</v>
      </c>
      <c r="P23" s="116">
        <v>35</v>
      </c>
    </row>
    <row r="24" spans="2:22" ht="18.75">
      <c r="B24" s="77">
        <v>250</v>
      </c>
      <c r="C24" s="112">
        <f>(96.5+Graafit!AB20)</f>
        <v>100.42470540278704</v>
      </c>
      <c r="D24" s="111">
        <f t="shared" si="0"/>
        <v>10.042470540278703</v>
      </c>
      <c r="E24" s="19"/>
      <c r="F24" s="19"/>
      <c r="G24" s="4">
        <v>250</v>
      </c>
      <c r="H24" s="105">
        <f>(C24-'Muunnokset lin A C'!$D$38)</f>
        <v>109.02470540278703</v>
      </c>
      <c r="I24" s="111">
        <f t="shared" si="1"/>
        <v>10.902470540278703</v>
      </c>
      <c r="J24" s="32"/>
      <c r="L24" s="30">
        <v>1500</v>
      </c>
      <c r="M24" s="88">
        <f>(O145)</f>
        <v>60.784023594537089</v>
      </c>
      <c r="N24" s="88">
        <f>(V145)</f>
        <v>31.679673110430929</v>
      </c>
      <c r="O24" s="89">
        <f>(Y145)</f>
        <v>56.348970292178684</v>
      </c>
      <c r="P24" s="116">
        <v>35</v>
      </c>
    </row>
    <row r="25" spans="2:22" ht="18.75">
      <c r="B25" s="77">
        <v>500</v>
      </c>
      <c r="C25" s="112">
        <f>(99+Graafit!AB20)</f>
        <v>102.92470540278704</v>
      </c>
      <c r="D25" s="113">
        <f t="shared" si="0"/>
        <v>10.292470540278703</v>
      </c>
      <c r="E25" s="19"/>
      <c r="F25" s="19"/>
      <c r="G25" s="4">
        <v>500</v>
      </c>
      <c r="H25" s="105">
        <f>(C25-'Muunnokset lin A C'!$D$39)</f>
        <v>106.12470540278704</v>
      </c>
      <c r="I25" s="111">
        <f t="shared" si="1"/>
        <v>10.612470540278704</v>
      </c>
      <c r="J25" s="32"/>
      <c r="L25" s="30">
        <v>1700</v>
      </c>
      <c r="M25" s="88">
        <f>(O161)</f>
        <v>59.688221180756933</v>
      </c>
      <c r="N25" s="88">
        <f>(V161)</f>
        <v>30.313736573173898</v>
      </c>
      <c r="O25" s="89">
        <f>(Y161)</f>
        <v>55.247396041181105</v>
      </c>
      <c r="P25" s="116">
        <v>35</v>
      </c>
    </row>
    <row r="26" spans="2:22" ht="18.75">
      <c r="B26" s="77">
        <v>1000</v>
      </c>
      <c r="C26" s="112">
        <f>(101.8+Graafit!AB20)</f>
        <v>105.72470540278704</v>
      </c>
      <c r="D26" s="113">
        <f t="shared" si="0"/>
        <v>10.572470540278704</v>
      </c>
      <c r="E26" s="19"/>
      <c r="F26" s="19"/>
      <c r="G26" s="4">
        <v>1000</v>
      </c>
      <c r="H26" s="105">
        <f>(C26-'Muunnokset lin A C'!$D$40)</f>
        <v>105.72470540278704</v>
      </c>
      <c r="I26" s="111">
        <f t="shared" si="1"/>
        <v>10.572470540278704</v>
      </c>
      <c r="J26" s="32"/>
      <c r="L26" s="30">
        <v>1900</v>
      </c>
      <c r="M26" s="88">
        <f>(O177)</f>
        <v>58.713563086543431</v>
      </c>
      <c r="N26" s="88">
        <f>(V177)</f>
        <v>29.092589575833678</v>
      </c>
      <c r="O26" s="89">
        <f>(Y177)</f>
        <v>54.267090052440643</v>
      </c>
      <c r="P26" s="116">
        <v>35</v>
      </c>
    </row>
    <row r="27" spans="2:22" ht="18.75">
      <c r="B27" s="77">
        <v>2000</v>
      </c>
      <c r="C27" s="112">
        <f>(99.7+Graafit!AB20)</f>
        <v>103.62470540278704</v>
      </c>
      <c r="D27" s="113">
        <f t="shared" si="0"/>
        <v>10.362470540278704</v>
      </c>
      <c r="E27" s="19"/>
      <c r="F27" s="19"/>
      <c r="G27" s="4">
        <v>2000</v>
      </c>
      <c r="H27" s="105">
        <f>(C27-'Muunnokset lin A C'!$D$41)</f>
        <v>102.42470540278704</v>
      </c>
      <c r="I27" s="111">
        <f t="shared" si="1"/>
        <v>10.242470540278704</v>
      </c>
      <c r="J27" s="32"/>
      <c r="L27" s="30">
        <v>2100</v>
      </c>
      <c r="M27" s="88">
        <f>(O193)</f>
        <v>57.835760233898405</v>
      </c>
      <c r="N27" s="88">
        <f>(V193)</f>
        <v>27.988356844891324</v>
      </c>
      <c r="O27" s="89">
        <f>(Y193)</f>
        <v>53.383748220923806</v>
      </c>
      <c r="P27" s="116">
        <v>35</v>
      </c>
    </row>
    <row r="28" spans="2:22" ht="18.75">
      <c r="B28" s="77">
        <v>4000</v>
      </c>
      <c r="C28" s="112">
        <f>(94.8+Graafit!AB20)</f>
        <v>98.724705402787038</v>
      </c>
      <c r="D28" s="111">
        <f t="shared" si="0"/>
        <v>9.8724705402787034</v>
      </c>
      <c r="E28" s="19"/>
      <c r="F28" s="19"/>
      <c r="G28" s="4">
        <v>4000</v>
      </c>
      <c r="H28" s="105">
        <f>(C28-'Muunnokset lin A C'!$D$42)</f>
        <v>97.724705402787038</v>
      </c>
      <c r="I28" s="111">
        <f t="shared" si="1"/>
        <v>9.7724705402787038</v>
      </c>
      <c r="J28" s="32"/>
      <c r="L28" s="30">
        <v>2300</v>
      </c>
      <c r="M28" s="88">
        <f>(O209)</f>
        <v>57.037168820623343</v>
      </c>
      <c r="N28" s="88">
        <f>(V209)</f>
        <v>26.980573279840346</v>
      </c>
      <c r="O28" s="89">
        <f>(Y209)</f>
        <v>52.579714998663377</v>
      </c>
      <c r="P28" s="116">
        <v>35</v>
      </c>
    </row>
    <row r="29" spans="2:22" ht="18.75">
      <c r="B29" s="77">
        <v>8000</v>
      </c>
      <c r="C29" s="112">
        <f>(87+Graafit!AB20)</f>
        <v>90.92470540278704</v>
      </c>
      <c r="D29" s="111">
        <f t="shared" si="0"/>
        <v>9.092470540278704</v>
      </c>
      <c r="E29" s="19"/>
      <c r="F29" s="19"/>
      <c r="G29" s="4">
        <v>8000</v>
      </c>
      <c r="H29" s="105">
        <f>(C29-'Muunnokset lin A C'!$D$43)</f>
        <v>92.024705402787035</v>
      </c>
      <c r="I29" s="111">
        <f t="shared" si="1"/>
        <v>9.2024705402787035</v>
      </c>
      <c r="J29" s="32"/>
      <c r="L29" s="30">
        <v>2500</v>
      </c>
      <c r="M29" s="88">
        <f>(O225)</f>
        <v>56.304567465478534</v>
      </c>
      <c r="N29" s="88">
        <f>(V225)</f>
        <v>26.053765046815336</v>
      </c>
      <c r="O29" s="89">
        <f>(Y225)</f>
        <v>51.841759615472604</v>
      </c>
      <c r="P29" s="116">
        <v>35</v>
      </c>
    </row>
    <row r="30" spans="2:22">
      <c r="B30" s="30"/>
      <c r="C30" s="19"/>
      <c r="D30" s="19"/>
      <c r="E30" s="19"/>
      <c r="F30" s="19"/>
      <c r="G30" s="19"/>
      <c r="H30" s="19"/>
      <c r="I30" s="19"/>
      <c r="J30" s="32"/>
      <c r="L30" s="30">
        <v>2700</v>
      </c>
      <c r="M30" s="88">
        <f>(O241)</f>
        <v>55.627792482289713</v>
      </c>
      <c r="N30" s="88">
        <f>(V241)</f>
        <v>25.195939226698222</v>
      </c>
      <c r="O30" s="89">
        <f>(Y241)</f>
        <v>51.159710725448797</v>
      </c>
      <c r="P30" s="116">
        <v>35</v>
      </c>
    </row>
    <row r="31" spans="2:22" ht="18.75">
      <c r="B31" s="6" t="s">
        <v>6</v>
      </c>
      <c r="C31" s="65">
        <f>(10*LOG(10^D19+10^D20+10^D21+10^D22+10^D23+10^D24+10^D25+10^D26+10^D27+10^D28+10^D29))</f>
        <v>110.50400625864023</v>
      </c>
      <c r="D31" s="8" t="s">
        <v>2</v>
      </c>
      <c r="E31" s="8"/>
      <c r="F31" s="21"/>
      <c r="G31" s="8" t="s">
        <v>6</v>
      </c>
      <c r="H31" s="65">
        <f>(10*LOG(10^I19+10^I20+10^I21+10^I22+10^I23+10^I24+10^I25+10^I26+10^I27+10^I28+10^I29))</f>
        <v>130.1575925770922</v>
      </c>
      <c r="I31" s="8" t="s">
        <v>4</v>
      </c>
      <c r="J31" s="22"/>
      <c r="L31" s="20">
        <v>3000</v>
      </c>
      <c r="M31" s="90">
        <f>(O256)</f>
        <v>54.700293355725634</v>
      </c>
      <c r="N31" s="90">
        <f>(V256)</f>
        <v>24.018290687676807</v>
      </c>
      <c r="O31" s="91">
        <f>(Y256)</f>
        <v>50.224437324190589</v>
      </c>
      <c r="P31" s="117">
        <v>35</v>
      </c>
    </row>
    <row r="34" spans="2:26" ht="23.25">
      <c r="B34" s="66" t="s">
        <v>25</v>
      </c>
      <c r="O34" s="19"/>
    </row>
    <row r="35" spans="2:26" ht="23.25">
      <c r="B35" s="66"/>
    </row>
    <row r="36" spans="2:26" ht="18.75">
      <c r="D36" s="68" t="s">
        <v>73</v>
      </c>
    </row>
    <row r="37" spans="2:26" ht="21">
      <c r="B37" s="67" t="s">
        <v>24</v>
      </c>
      <c r="C37" s="67" t="s">
        <v>1</v>
      </c>
      <c r="D37" s="69" t="s">
        <v>4</v>
      </c>
      <c r="E37" s="15" t="s">
        <v>26</v>
      </c>
      <c r="F37" s="15"/>
      <c r="G37" s="15"/>
      <c r="H37" s="15" t="s">
        <v>27</v>
      </c>
      <c r="I37" s="15"/>
      <c r="J37" s="15" t="s">
        <v>28</v>
      </c>
      <c r="K37" s="15"/>
      <c r="L37" s="15" t="s">
        <v>29</v>
      </c>
      <c r="M37" s="15"/>
      <c r="N37" s="15"/>
      <c r="O37" s="67" t="s">
        <v>4</v>
      </c>
      <c r="S37" s="67"/>
      <c r="T37" s="15"/>
      <c r="V37" s="67" t="s">
        <v>2</v>
      </c>
      <c r="Y37" s="67" t="s">
        <v>3</v>
      </c>
    </row>
    <row r="38" spans="2:26">
      <c r="F38" s="44" t="s">
        <v>42</v>
      </c>
      <c r="G38" s="44"/>
      <c r="H38" s="44" t="s">
        <v>43</v>
      </c>
      <c r="I38" s="44"/>
      <c r="J38" s="44" t="s">
        <v>42</v>
      </c>
      <c r="K38" s="44"/>
      <c r="L38" s="44" t="s">
        <v>42</v>
      </c>
    </row>
    <row r="39" spans="2:26" ht="18.75">
      <c r="B39" s="70">
        <v>300</v>
      </c>
      <c r="C39" s="58">
        <v>20</v>
      </c>
      <c r="D39" s="114">
        <f>(C19-'Muunnokset lin A C'!D27)</f>
        <v>127.32470540278703</v>
      </c>
      <c r="F39" s="44">
        <f>(0.01/1000)*B39</f>
        <v>3.0000000000000001E-3</v>
      </c>
      <c r="H39" s="14">
        <v>5.6</v>
      </c>
      <c r="J39" s="44">
        <v>11</v>
      </c>
      <c r="L39" s="72">
        <f>(20*LOG(B39))</f>
        <v>49.542425094393252</v>
      </c>
      <c r="O39" s="72">
        <f>(D39-F39+H39-J39-L39)</f>
        <v>72.379280308393788</v>
      </c>
      <c r="P39" s="73">
        <f>(O39/10)</f>
        <v>7.2379280308393792</v>
      </c>
      <c r="V39" s="71">
        <f>(O39+'Muunnokset lin A C'!D27)</f>
        <v>21.97928030839379</v>
      </c>
      <c r="W39" s="73">
        <f>(V39/10)</f>
        <v>2.1979280308393792</v>
      </c>
      <c r="Y39" s="71">
        <f>(O39+'Muunnokset lin A C'!E27)</f>
        <v>66.179280308393786</v>
      </c>
      <c r="Z39" s="73">
        <f>(Y39/10)</f>
        <v>6.6179280308393782</v>
      </c>
    </row>
    <row r="40" spans="2:26" ht="18.75">
      <c r="B40" s="70">
        <v>300</v>
      </c>
      <c r="C40" s="4">
        <v>25</v>
      </c>
      <c r="D40" s="114">
        <f>(C20-'Muunnokset lin A C'!D28)</f>
        <v>122.92470540278704</v>
      </c>
      <c r="F40" s="44">
        <f>(0.05/1000)*B40</f>
        <v>1.5000000000000001E-2</v>
      </c>
      <c r="H40" s="14">
        <v>5.4</v>
      </c>
      <c r="J40" s="44">
        <v>11</v>
      </c>
      <c r="L40" s="72">
        <f t="shared" ref="L40:L49" si="2">(20*LOG(B40))</f>
        <v>49.542425094393252</v>
      </c>
      <c r="O40" s="72">
        <f t="shared" ref="O40:O49" si="3">(D40-F40+H40-J40-L40)</f>
        <v>67.767280308393794</v>
      </c>
      <c r="P40" s="73">
        <f t="shared" ref="P40:P49" si="4">(O40/10)</f>
        <v>6.7767280308393794</v>
      </c>
      <c r="V40" s="71">
        <f>(O40+'Muunnokset lin A C'!D28)</f>
        <v>22.967280308393796</v>
      </c>
      <c r="W40" s="73">
        <f t="shared" ref="W40:W49" si="5">(V40/10)</f>
        <v>2.2967280308393798</v>
      </c>
      <c r="Y40" s="71">
        <f>(O40+'Muunnokset lin A C'!E28)</f>
        <v>63.367280308393795</v>
      </c>
      <c r="Z40" s="73">
        <f t="shared" ref="Z40:Z49" si="6">(Y40/10)</f>
        <v>6.3367280308393799</v>
      </c>
    </row>
    <row r="41" spans="2:26" ht="18.75">
      <c r="B41" s="70">
        <v>300</v>
      </c>
      <c r="C41" s="4">
        <v>31.5</v>
      </c>
      <c r="D41" s="114">
        <f>(C21-'Muunnokset lin A C'!D29)</f>
        <v>121.12470540278704</v>
      </c>
      <c r="F41" s="44">
        <f>(0.08/1000)*B41</f>
        <v>2.4E-2</v>
      </c>
      <c r="H41" s="14">
        <v>5.2</v>
      </c>
      <c r="J41" s="44">
        <v>11</v>
      </c>
      <c r="L41" s="72">
        <f t="shared" si="2"/>
        <v>49.542425094393252</v>
      </c>
      <c r="O41" s="72">
        <f t="shared" si="3"/>
        <v>65.758280308393793</v>
      </c>
      <c r="P41" s="73">
        <f t="shared" si="4"/>
        <v>6.5758280308393795</v>
      </c>
      <c r="V41" s="71">
        <f>(O41+'Muunnokset lin A C'!D29)</f>
        <v>26.258280308393793</v>
      </c>
      <c r="W41" s="73">
        <f t="shared" si="5"/>
        <v>2.6258280308393793</v>
      </c>
      <c r="Y41" s="71">
        <f>(O41+'Muunnokset lin A C'!E29)</f>
        <v>62.758280308393793</v>
      </c>
      <c r="Z41" s="73">
        <f t="shared" si="6"/>
        <v>6.2758280308393797</v>
      </c>
    </row>
    <row r="42" spans="2:26" ht="18.75">
      <c r="B42" s="70">
        <v>300</v>
      </c>
      <c r="C42" s="4">
        <v>63</v>
      </c>
      <c r="D42" s="114">
        <f>(C22-'Muunnokset lin A C'!D32)</f>
        <v>120.52470540278705</v>
      </c>
      <c r="F42" s="44">
        <f>(0.1/1000)*B42</f>
        <v>3.0000000000000002E-2</v>
      </c>
      <c r="H42" s="14">
        <v>4.3</v>
      </c>
      <c r="J42" s="44">
        <v>11</v>
      </c>
      <c r="L42" s="72">
        <f t="shared" si="2"/>
        <v>49.542425094393252</v>
      </c>
      <c r="O42" s="72">
        <f t="shared" si="3"/>
        <v>64.252280308393793</v>
      </c>
      <c r="P42" s="73">
        <f t="shared" si="4"/>
        <v>6.4252280308393797</v>
      </c>
      <c r="V42" s="71">
        <f>(O42+'Muunnokset lin A C'!D32)</f>
        <v>38.05228030839379</v>
      </c>
      <c r="W42" s="73">
        <f t="shared" si="5"/>
        <v>3.8052280308393791</v>
      </c>
      <c r="Y42" s="71">
        <f>(O42+'Muunnokset lin A C'!E32)</f>
        <v>63.452280308393796</v>
      </c>
      <c r="Z42" s="73">
        <f t="shared" si="6"/>
        <v>6.3452280308393796</v>
      </c>
    </row>
    <row r="43" spans="2:26" ht="18.75">
      <c r="B43" s="70">
        <v>300</v>
      </c>
      <c r="C43" s="4">
        <v>125</v>
      </c>
      <c r="D43" s="114">
        <f>(C23-'Muunnokset lin A C'!D35)</f>
        <v>116.02470540278705</v>
      </c>
      <c r="F43" s="44">
        <f>(0.4/1000)*B43</f>
        <v>0.12000000000000001</v>
      </c>
      <c r="H43" s="14">
        <v>1.8</v>
      </c>
      <c r="J43" s="44">
        <v>11</v>
      </c>
      <c r="L43" s="72">
        <f t="shared" si="2"/>
        <v>49.542425094393252</v>
      </c>
      <c r="O43" s="72">
        <f t="shared" si="3"/>
        <v>57.16228030839379</v>
      </c>
      <c r="P43" s="73">
        <f t="shared" si="4"/>
        <v>5.7162280308393791</v>
      </c>
      <c r="V43" s="71">
        <f>(O43+'Muunnokset lin A C'!D35)</f>
        <v>40.962280308393787</v>
      </c>
      <c r="W43" s="73">
        <f t="shared" si="5"/>
        <v>4.096228030839379</v>
      </c>
      <c r="Y43" s="71">
        <f>(O43+'Muunnokset lin A C'!E35)</f>
        <v>56.962280308393787</v>
      </c>
      <c r="Z43" s="73">
        <f t="shared" si="6"/>
        <v>5.6962280308393787</v>
      </c>
    </row>
    <row r="44" spans="2:26" ht="18.75">
      <c r="B44" s="70">
        <v>300</v>
      </c>
      <c r="C44" s="4">
        <v>250</v>
      </c>
      <c r="D44" s="114">
        <f>(C24-'Muunnokset lin A C'!D38)</f>
        <v>109.02470540278703</v>
      </c>
      <c r="F44" s="44">
        <f>(1/1000)*B44</f>
        <v>0.3</v>
      </c>
      <c r="H44" s="14">
        <v>-0.5</v>
      </c>
      <c r="J44" s="44">
        <v>11</v>
      </c>
      <c r="L44" s="72">
        <f t="shared" si="2"/>
        <v>49.542425094393252</v>
      </c>
      <c r="O44" s="72">
        <f t="shared" si="3"/>
        <v>47.682280308393786</v>
      </c>
      <c r="P44" s="73">
        <f t="shared" si="4"/>
        <v>4.7682280308393787</v>
      </c>
      <c r="V44" s="71">
        <f>(O44+'Muunnokset lin A C'!D38)</f>
        <v>39.082280308393784</v>
      </c>
      <c r="W44" s="73">
        <f t="shared" si="5"/>
        <v>3.9082280308393784</v>
      </c>
      <c r="Y44" s="71">
        <f>(O44+'Muunnokset lin A C'!E38)</f>
        <v>47.682280308393786</v>
      </c>
      <c r="Z44" s="73">
        <f t="shared" si="6"/>
        <v>4.7682280308393787</v>
      </c>
    </row>
    <row r="45" spans="2:26" ht="18.75">
      <c r="B45" s="70">
        <v>300</v>
      </c>
      <c r="C45" s="4">
        <v>500</v>
      </c>
      <c r="D45" s="114">
        <f>(C25-'Muunnokset lin A C'!D39)</f>
        <v>106.12470540278704</v>
      </c>
      <c r="F45" s="44">
        <f>(1.9/1000)*B45</f>
        <v>0.56999999999999995</v>
      </c>
      <c r="H45" s="14">
        <v>-3</v>
      </c>
      <c r="J45" s="44">
        <v>11</v>
      </c>
      <c r="L45" s="72">
        <f t="shared" si="2"/>
        <v>49.542425094393252</v>
      </c>
      <c r="O45" s="72">
        <f t="shared" si="3"/>
        <v>42.012280308393798</v>
      </c>
      <c r="P45" s="73">
        <f t="shared" si="4"/>
        <v>4.2012280308393795</v>
      </c>
      <c r="V45" s="71">
        <f>(O45+'Muunnokset lin A C'!D39)</f>
        <v>38.812280308393795</v>
      </c>
      <c r="W45" s="73">
        <f t="shared" si="5"/>
        <v>3.8812280308393796</v>
      </c>
      <c r="Y45" s="71">
        <f>(O45+'Muunnokset lin A C'!E39)</f>
        <v>42.012280308393798</v>
      </c>
      <c r="Z45" s="73">
        <f t="shared" si="6"/>
        <v>4.2012280308393795</v>
      </c>
    </row>
    <row r="46" spans="2:26" ht="18.75">
      <c r="B46" s="70">
        <v>300</v>
      </c>
      <c r="C46" s="4">
        <v>1000</v>
      </c>
      <c r="D46" s="114">
        <f>(C26-'Muunnokset lin A C'!D40)</f>
        <v>105.72470540278704</v>
      </c>
      <c r="F46" s="44">
        <f>(3.7/1000)*B46</f>
        <v>1.1100000000000001</v>
      </c>
      <c r="H46" s="14">
        <v>-1</v>
      </c>
      <c r="J46" s="44">
        <v>11</v>
      </c>
      <c r="L46" s="72">
        <f t="shared" si="2"/>
        <v>49.542425094393252</v>
      </c>
      <c r="O46" s="72">
        <f t="shared" si="3"/>
        <v>43.072280308393786</v>
      </c>
      <c r="P46" s="73">
        <f t="shared" si="4"/>
        <v>4.3072280308393784</v>
      </c>
      <c r="V46" s="71">
        <f>(O46+'Muunnokset lin A C'!D40)</f>
        <v>43.072280308393786</v>
      </c>
      <c r="W46" s="73">
        <f t="shared" si="5"/>
        <v>4.3072280308393784</v>
      </c>
      <c r="Y46" s="71">
        <f>(O46+'Muunnokset lin A C'!E40)</f>
        <v>43.072280308393786</v>
      </c>
      <c r="Z46" s="73">
        <f t="shared" si="6"/>
        <v>4.3072280308393784</v>
      </c>
    </row>
    <row r="47" spans="2:26" ht="18.75">
      <c r="B47" s="70">
        <v>300</v>
      </c>
      <c r="C47" s="4">
        <v>2000</v>
      </c>
      <c r="D47" s="114">
        <f>(C27-'Muunnokset lin A C'!D41)</f>
        <v>102.42470540278704</v>
      </c>
      <c r="F47" s="44">
        <f>(9.7/1000)*B47</f>
        <v>2.9099999999999997</v>
      </c>
      <c r="H47" s="14">
        <v>0</v>
      </c>
      <c r="J47" s="44">
        <v>11</v>
      </c>
      <c r="L47" s="72">
        <f t="shared" si="2"/>
        <v>49.542425094393252</v>
      </c>
      <c r="O47" s="72">
        <f t="shared" si="3"/>
        <v>38.972280308393792</v>
      </c>
      <c r="P47" s="73">
        <f t="shared" si="4"/>
        <v>3.8972280308393792</v>
      </c>
      <c r="V47" s="71">
        <f>(O47+'Muunnokset lin A C'!D41)</f>
        <v>40.172280308393795</v>
      </c>
      <c r="W47" s="73">
        <f t="shared" si="5"/>
        <v>4.0172280308393793</v>
      </c>
      <c r="Y47" s="71">
        <f>(O47+'Muunnokset lin A C'!E41)</f>
        <v>38.772280308393789</v>
      </c>
      <c r="Z47" s="73">
        <f t="shared" si="6"/>
        <v>3.8772280308393787</v>
      </c>
    </row>
    <row r="48" spans="2:26" ht="18.75">
      <c r="B48" s="70">
        <v>300</v>
      </c>
      <c r="C48" s="4">
        <v>4000</v>
      </c>
      <c r="D48" s="114">
        <f>(C28-'Muunnokset lin A C'!D42)</f>
        <v>97.724705402787038</v>
      </c>
      <c r="F48" s="44">
        <f>(32.8/1000)*B48</f>
        <v>9.8399999999999981</v>
      </c>
      <c r="H48" s="14">
        <v>0</v>
      </c>
      <c r="J48" s="44">
        <v>11</v>
      </c>
      <c r="L48" s="72">
        <f t="shared" si="2"/>
        <v>49.542425094393252</v>
      </c>
      <c r="O48" s="72">
        <f t="shared" si="3"/>
        <v>27.342280308393782</v>
      </c>
      <c r="P48" s="73">
        <f t="shared" si="4"/>
        <v>2.734228030839378</v>
      </c>
      <c r="V48" s="71">
        <f>(O48+'Muunnokset lin A C'!D42)</f>
        <v>28.342280308393782</v>
      </c>
      <c r="W48" s="73">
        <f t="shared" si="5"/>
        <v>2.8342280308393781</v>
      </c>
      <c r="Y48" s="71">
        <f>(O48+'Muunnokset lin A C'!E42)</f>
        <v>26.542280308393781</v>
      </c>
      <c r="Z48" s="73">
        <f t="shared" si="6"/>
        <v>2.654228030839378</v>
      </c>
    </row>
    <row r="49" spans="2:30" ht="18.75">
      <c r="B49" s="70">
        <v>300</v>
      </c>
      <c r="C49" s="4">
        <v>8000</v>
      </c>
      <c r="D49" s="114">
        <f>(C29-'Muunnokset lin A C'!D43)</f>
        <v>92.024705402787035</v>
      </c>
      <c r="F49" s="44">
        <f>(117/1000)*B49</f>
        <v>35.1</v>
      </c>
      <c r="H49" s="14">
        <v>0</v>
      </c>
      <c r="J49" s="44">
        <v>11</v>
      </c>
      <c r="L49" s="72">
        <f t="shared" si="2"/>
        <v>49.542425094393252</v>
      </c>
      <c r="O49" s="72">
        <f t="shared" si="3"/>
        <v>-3.6177196916062186</v>
      </c>
      <c r="P49" s="73">
        <f t="shared" si="4"/>
        <v>-0.36177196916062188</v>
      </c>
      <c r="V49" s="71">
        <f>(O49+'Muunnokset lin A C'!D43)</f>
        <v>-4.7177196916062183</v>
      </c>
      <c r="W49" s="73">
        <f t="shared" si="5"/>
        <v>-0.47177196916062181</v>
      </c>
      <c r="Y49" s="71">
        <f>(O49+'Muunnokset lin A C'!E43)</f>
        <v>-6.6177196916062186</v>
      </c>
      <c r="Z49" s="73">
        <f t="shared" si="6"/>
        <v>-0.66177196916062186</v>
      </c>
    </row>
    <row r="50" spans="2:30">
      <c r="D50" s="71"/>
    </row>
    <row r="51" spans="2:30" ht="21">
      <c r="D51" s="71"/>
      <c r="N51" s="76">
        <f>(B39)</f>
        <v>300</v>
      </c>
      <c r="O51" s="74">
        <f>(10*LOG(10^P39+10^P40+10^P41+10^P42+10^P43+10^P44+10^P45+10^P46+10^P47+10^P48+10^P49))</f>
        <v>74.818275394220578</v>
      </c>
      <c r="P51" s="75" t="s">
        <v>4</v>
      </c>
      <c r="R51" s="80">
        <f>(10*LOG(10^P39+10^P40+10^P41+10^P42+10^P43+10^P44))</f>
        <v>74.81188136846265</v>
      </c>
      <c r="S51" s="81" t="s">
        <v>4</v>
      </c>
      <c r="T51" s="17"/>
      <c r="U51" s="18"/>
      <c r="V51" s="74">
        <f>(10*LOG(10^W39+10^W40+10^W41+10^W42+10^W43+10^W44+10^W45+10^W46+10^W47+10^W48+10^W49))</f>
        <v>48.24270858987817</v>
      </c>
      <c r="W51" s="75" t="s">
        <v>2</v>
      </c>
      <c r="Y51" s="74">
        <f>(10*LOG(10^Z39+10^Z40+10^Z41+10^Z42+10^Z43+10^Z44+10^Z45+10^Z46+10^Z47+10^Z48+10^Z49))</f>
        <v>70.422352891699546</v>
      </c>
      <c r="Z51" s="75" t="s">
        <v>3</v>
      </c>
      <c r="AB51" s="1" t="s">
        <v>39</v>
      </c>
      <c r="AD51" s="83">
        <f>(Y51-V51)</f>
        <v>22.179644301821376</v>
      </c>
    </row>
    <row r="52" spans="2:30">
      <c r="D52" s="71"/>
      <c r="R52" s="30" t="s">
        <v>38</v>
      </c>
      <c r="S52" s="19"/>
      <c r="T52" s="19"/>
      <c r="U52" s="32"/>
    </row>
    <row r="53" spans="2:30">
      <c r="D53" s="71"/>
      <c r="R53" s="20"/>
      <c r="S53" s="21"/>
      <c r="T53" s="21"/>
      <c r="U53" s="22"/>
    </row>
    <row r="54" spans="2:30" ht="18.75">
      <c r="B54" s="70">
        <v>500</v>
      </c>
      <c r="C54" s="58">
        <v>20</v>
      </c>
      <c r="D54" s="114">
        <f>(D39)</f>
        <v>127.32470540278703</v>
      </c>
      <c r="F54" s="44">
        <f>(0.01/1000)*B54</f>
        <v>5.0000000000000001E-3</v>
      </c>
      <c r="H54" s="14">
        <v>5.6</v>
      </c>
      <c r="J54" s="44">
        <v>11</v>
      </c>
      <c r="L54" s="72">
        <f>(20*LOG(B54))</f>
        <v>53.979400086720375</v>
      </c>
      <c r="O54" s="72">
        <f t="shared" ref="O54:O64" si="7">(D54-F54+H54-J54-L54)</f>
        <v>67.940305316066656</v>
      </c>
      <c r="P54" s="73">
        <f>(O54/10)</f>
        <v>6.7940305316066656</v>
      </c>
      <c r="V54" s="71">
        <f>(O54+'Muunnokset lin A C'!D27)</f>
        <v>17.540305316066657</v>
      </c>
      <c r="W54" s="73">
        <f>(V54/10)</f>
        <v>1.7540305316066658</v>
      </c>
      <c r="Y54" s="71">
        <f>(O54+'Muunnokset lin A C'!E27)</f>
        <v>61.740305316066653</v>
      </c>
      <c r="Z54" s="73">
        <f>(Y54/10)</f>
        <v>6.1740305316066655</v>
      </c>
    </row>
    <row r="55" spans="2:30" ht="18.75">
      <c r="B55" s="70">
        <v>500</v>
      </c>
      <c r="C55" s="4">
        <v>25</v>
      </c>
      <c r="D55" s="114">
        <f t="shared" ref="D55:D64" si="8">(D40)</f>
        <v>122.92470540278704</v>
      </c>
      <c r="F55" s="44">
        <f>(0.05/1000)*B55</f>
        <v>2.5000000000000001E-2</v>
      </c>
      <c r="H55" s="14">
        <v>5.4</v>
      </c>
      <c r="J55" s="44">
        <v>11</v>
      </c>
      <c r="L55" s="72">
        <f t="shared" ref="L55:L64" si="9">(20*LOG(B55))</f>
        <v>53.979400086720375</v>
      </c>
      <c r="O55" s="72">
        <f t="shared" si="7"/>
        <v>63.320305316066651</v>
      </c>
      <c r="P55" s="73">
        <f t="shared" ref="P55:P64" si="10">(O55/10)</f>
        <v>6.332030531606665</v>
      </c>
      <c r="V55" s="71">
        <f>(O55+'Muunnokset lin A C'!D28)</f>
        <v>18.520305316066654</v>
      </c>
      <c r="W55" s="73">
        <f t="shared" ref="W55:W64" si="11">(V55/10)</f>
        <v>1.8520305316066654</v>
      </c>
      <c r="Y55" s="71">
        <f>(O55+'Muunnokset lin A C'!E28)</f>
        <v>58.920305316066653</v>
      </c>
      <c r="Z55" s="73">
        <f t="shared" ref="Z55:Z64" si="12">(Y55/10)</f>
        <v>5.8920305316066655</v>
      </c>
    </row>
    <row r="56" spans="2:30" ht="18.75">
      <c r="B56" s="70">
        <v>500</v>
      </c>
      <c r="C56" s="4">
        <v>31.5</v>
      </c>
      <c r="D56" s="114">
        <f t="shared" si="8"/>
        <v>121.12470540278704</v>
      </c>
      <c r="F56" s="44">
        <f>(0.08/1000)*B56</f>
        <v>0.04</v>
      </c>
      <c r="H56" s="14">
        <v>5.2</v>
      </c>
      <c r="J56" s="44">
        <v>11</v>
      </c>
      <c r="L56" s="72">
        <f t="shared" si="9"/>
        <v>53.979400086720375</v>
      </c>
      <c r="O56" s="72">
        <f t="shared" si="7"/>
        <v>61.305305316066665</v>
      </c>
      <c r="P56" s="73">
        <f t="shared" si="10"/>
        <v>6.1305305316066665</v>
      </c>
      <c r="V56" s="71">
        <f>(O56+'Muunnokset lin A C'!D29)</f>
        <v>21.805305316066665</v>
      </c>
      <c r="W56" s="73">
        <f t="shared" si="11"/>
        <v>2.1805305316066663</v>
      </c>
      <c r="Y56" s="71">
        <f>(O56+'Muunnokset lin A C'!E29)</f>
        <v>58.305305316066665</v>
      </c>
      <c r="Z56" s="73">
        <f t="shared" si="12"/>
        <v>5.8305305316066667</v>
      </c>
    </row>
    <row r="57" spans="2:30" ht="18.75">
      <c r="B57" s="70">
        <v>500</v>
      </c>
      <c r="C57" s="4">
        <v>63</v>
      </c>
      <c r="D57" s="114">
        <f t="shared" si="8"/>
        <v>120.52470540278705</v>
      </c>
      <c r="F57" s="44">
        <f>(0.1/1000)*B57</f>
        <v>0.05</v>
      </c>
      <c r="H57" s="14">
        <v>4.3</v>
      </c>
      <c r="J57" s="44">
        <v>11</v>
      </c>
      <c r="L57" s="72">
        <f t="shared" si="9"/>
        <v>53.979400086720375</v>
      </c>
      <c r="O57" s="72">
        <f t="shared" si="7"/>
        <v>59.795305316066674</v>
      </c>
      <c r="P57" s="73">
        <f t="shared" si="10"/>
        <v>5.9795305316066676</v>
      </c>
      <c r="V57" s="71">
        <f>(O57+'Muunnokset lin A C'!D32)</f>
        <v>33.595305316066671</v>
      </c>
      <c r="W57" s="73">
        <f t="shared" si="11"/>
        <v>3.359530531606667</v>
      </c>
      <c r="Y57" s="71">
        <f>(O57+'Muunnokset lin A C'!E32)</f>
        <v>58.995305316066677</v>
      </c>
      <c r="Z57" s="73">
        <f t="shared" si="12"/>
        <v>5.8995305316066675</v>
      </c>
    </row>
    <row r="58" spans="2:30" ht="18.75">
      <c r="B58" s="70">
        <v>500</v>
      </c>
      <c r="C58" s="4">
        <v>125</v>
      </c>
      <c r="D58" s="114">
        <f t="shared" si="8"/>
        <v>116.02470540278705</v>
      </c>
      <c r="F58" s="44">
        <f>(0.4/1000)*B58</f>
        <v>0.2</v>
      </c>
      <c r="H58" s="14">
        <v>1.8</v>
      </c>
      <c r="J58" s="44">
        <v>11</v>
      </c>
      <c r="L58" s="72">
        <f t="shared" si="9"/>
        <v>53.979400086720375</v>
      </c>
      <c r="O58" s="72">
        <f t="shared" si="7"/>
        <v>52.645305316066668</v>
      </c>
      <c r="P58" s="73">
        <f t="shared" si="10"/>
        <v>5.2645305316066668</v>
      </c>
      <c r="V58" s="71">
        <f>(O58+'Muunnokset lin A C'!D35)</f>
        <v>36.445305316066666</v>
      </c>
      <c r="W58" s="73">
        <f t="shared" si="11"/>
        <v>3.6445305316066667</v>
      </c>
      <c r="Y58" s="71">
        <f>(O58+'Muunnokset lin A C'!E35)</f>
        <v>52.445305316066666</v>
      </c>
      <c r="Z58" s="73">
        <f t="shared" si="12"/>
        <v>5.2445305316066664</v>
      </c>
    </row>
    <row r="59" spans="2:30" ht="18.75">
      <c r="B59" s="70">
        <v>500</v>
      </c>
      <c r="C59" s="4">
        <v>250</v>
      </c>
      <c r="D59" s="114">
        <f t="shared" si="8"/>
        <v>109.02470540278703</v>
      </c>
      <c r="F59" s="44">
        <f>(1/1000)*B59</f>
        <v>0.5</v>
      </c>
      <c r="H59" s="14">
        <v>-0.5</v>
      </c>
      <c r="J59" s="44">
        <v>11</v>
      </c>
      <c r="L59" s="72">
        <f t="shared" si="9"/>
        <v>53.979400086720375</v>
      </c>
      <c r="O59" s="72">
        <f t="shared" si="7"/>
        <v>43.04530531606666</v>
      </c>
      <c r="P59" s="73">
        <f t="shared" si="10"/>
        <v>4.304530531606666</v>
      </c>
      <c r="V59" s="71">
        <f>(O59+'Muunnokset lin A C'!D38)</f>
        <v>34.445305316066658</v>
      </c>
      <c r="W59" s="73">
        <f t="shared" si="11"/>
        <v>3.4445305316066657</v>
      </c>
      <c r="Y59" s="71">
        <f>(O59+'Muunnokset lin A C'!E38)</f>
        <v>43.04530531606666</v>
      </c>
      <c r="Z59" s="73">
        <f t="shared" si="12"/>
        <v>4.304530531606666</v>
      </c>
    </row>
    <row r="60" spans="2:30" ht="18.75">
      <c r="B60" s="70">
        <v>500</v>
      </c>
      <c r="C60" s="4">
        <v>500</v>
      </c>
      <c r="D60" s="114">
        <f t="shared" si="8"/>
        <v>106.12470540278704</v>
      </c>
      <c r="F60" s="44">
        <f>(1.9/1000)*B60</f>
        <v>0.95</v>
      </c>
      <c r="H60" s="14">
        <v>-3</v>
      </c>
      <c r="J60" s="44">
        <v>11</v>
      </c>
      <c r="L60" s="72">
        <f t="shared" si="9"/>
        <v>53.979400086720375</v>
      </c>
      <c r="O60" s="72">
        <f t="shared" si="7"/>
        <v>37.195305316066666</v>
      </c>
      <c r="P60" s="73">
        <f t="shared" si="10"/>
        <v>3.7195305316066665</v>
      </c>
      <c r="V60" s="71">
        <f>(O60+'Muunnokset lin A C'!D39)</f>
        <v>33.995305316066663</v>
      </c>
      <c r="W60" s="73">
        <f t="shared" si="11"/>
        <v>3.3995305316066662</v>
      </c>
      <c r="Y60" s="71">
        <f>(O60+'Muunnokset lin A C'!E39)</f>
        <v>37.195305316066666</v>
      </c>
      <c r="Z60" s="73">
        <f t="shared" si="12"/>
        <v>3.7195305316066665</v>
      </c>
    </row>
    <row r="61" spans="2:30" ht="18.75">
      <c r="B61" s="70">
        <v>500</v>
      </c>
      <c r="C61" s="4">
        <v>1000</v>
      </c>
      <c r="D61" s="114">
        <f t="shared" si="8"/>
        <v>105.72470540278704</v>
      </c>
      <c r="F61" s="44">
        <f>(3.7/1000)*B61</f>
        <v>1.85</v>
      </c>
      <c r="H61" s="14">
        <v>-1</v>
      </c>
      <c r="J61" s="44">
        <v>11</v>
      </c>
      <c r="L61" s="72">
        <f t="shared" si="9"/>
        <v>53.979400086720375</v>
      </c>
      <c r="O61" s="72">
        <f t="shared" si="7"/>
        <v>37.895305316066668</v>
      </c>
      <c r="P61" s="73">
        <f t="shared" si="10"/>
        <v>3.7895305316066668</v>
      </c>
      <c r="V61" s="71">
        <f>(O61+'Muunnokset lin A C'!D40)</f>
        <v>37.895305316066668</v>
      </c>
      <c r="W61" s="73">
        <f t="shared" si="11"/>
        <v>3.7895305316066668</v>
      </c>
      <c r="Y61" s="71">
        <f>(O61+'Muunnokset lin A C'!E40)</f>
        <v>37.895305316066668</v>
      </c>
      <c r="Z61" s="73">
        <f t="shared" si="12"/>
        <v>3.7895305316066668</v>
      </c>
    </row>
    <row r="62" spans="2:30" ht="18.75">
      <c r="B62" s="70">
        <v>500</v>
      </c>
      <c r="C62" s="4">
        <v>2000</v>
      </c>
      <c r="D62" s="114">
        <f t="shared" si="8"/>
        <v>102.42470540278704</v>
      </c>
      <c r="F62" s="44">
        <f>(9.7/1000)*B62</f>
        <v>4.8499999999999996</v>
      </c>
      <c r="H62" s="14">
        <v>0</v>
      </c>
      <c r="J62" s="44">
        <v>11</v>
      </c>
      <c r="L62" s="72">
        <f t="shared" si="9"/>
        <v>53.979400086720375</v>
      </c>
      <c r="O62" s="72">
        <f t="shared" si="7"/>
        <v>32.595305316066671</v>
      </c>
      <c r="P62" s="73">
        <f t="shared" si="10"/>
        <v>3.2595305316066669</v>
      </c>
      <c r="V62" s="71">
        <f>(O62+'Muunnokset lin A C'!D41)</f>
        <v>33.795305316066674</v>
      </c>
      <c r="W62" s="73">
        <f t="shared" si="11"/>
        <v>3.3795305316066675</v>
      </c>
      <c r="Y62" s="71">
        <f>(O62+'Muunnokset lin A C'!E41)</f>
        <v>32.395305316066668</v>
      </c>
      <c r="Z62" s="73">
        <f t="shared" si="12"/>
        <v>3.2395305316066669</v>
      </c>
    </row>
    <row r="63" spans="2:30" ht="18.75">
      <c r="B63" s="70">
        <v>500</v>
      </c>
      <c r="C63" s="4">
        <v>4000</v>
      </c>
      <c r="D63" s="114">
        <f t="shared" si="8"/>
        <v>97.724705402787038</v>
      </c>
      <c r="F63" s="44">
        <f>(32.8/1000)*B63</f>
        <v>16.399999999999999</v>
      </c>
      <c r="H63" s="14">
        <v>0</v>
      </c>
      <c r="J63" s="44">
        <v>11</v>
      </c>
      <c r="L63" s="72">
        <f t="shared" si="9"/>
        <v>53.979400086720375</v>
      </c>
      <c r="O63" s="72">
        <f t="shared" si="7"/>
        <v>16.345305316066657</v>
      </c>
      <c r="P63" s="73">
        <f t="shared" si="10"/>
        <v>1.6345305316066656</v>
      </c>
      <c r="V63" s="71">
        <f>(O63+'Muunnokset lin A C'!D42)</f>
        <v>17.345305316066657</v>
      </c>
      <c r="W63" s="73">
        <f t="shared" si="11"/>
        <v>1.7345305316066657</v>
      </c>
      <c r="Y63" s="71">
        <f>(O63+'Muunnokset lin A C'!E42)</f>
        <v>15.545305316066656</v>
      </c>
      <c r="Z63" s="73">
        <f t="shared" si="12"/>
        <v>1.5545305316066655</v>
      </c>
    </row>
    <row r="64" spans="2:30" ht="18.75">
      <c r="B64" s="70">
        <v>500</v>
      </c>
      <c r="C64" s="4">
        <v>8000</v>
      </c>
      <c r="D64" s="114">
        <f t="shared" si="8"/>
        <v>92.024705402787035</v>
      </c>
      <c r="F64" s="44">
        <f>(117/1000)*B64</f>
        <v>58.5</v>
      </c>
      <c r="H64" s="14">
        <v>0</v>
      </c>
      <c r="J64" s="44">
        <v>11</v>
      </c>
      <c r="L64" s="72">
        <f t="shared" si="9"/>
        <v>53.979400086720375</v>
      </c>
      <c r="O64" s="72">
        <f t="shared" si="7"/>
        <v>-31.45469468393334</v>
      </c>
      <c r="P64" s="73">
        <f t="shared" si="10"/>
        <v>-3.1454694683933342</v>
      </c>
      <c r="V64" s="71">
        <f>(O64+'Muunnokset lin A C'!D43)</f>
        <v>-32.554694683933342</v>
      </c>
      <c r="W64" s="73">
        <f t="shared" si="11"/>
        <v>-3.2554694683933341</v>
      </c>
      <c r="Y64" s="71">
        <f>(O64+'Muunnokset lin A C'!E43)</f>
        <v>-34.45469468393334</v>
      </c>
      <c r="Z64" s="73">
        <f t="shared" si="12"/>
        <v>-3.445469468393334</v>
      </c>
    </row>
    <row r="65" spans="2:30">
      <c r="D65" s="71"/>
    </row>
    <row r="66" spans="2:30" ht="21">
      <c r="D66" s="71"/>
      <c r="N66" s="76">
        <f>(B54)</f>
        <v>500</v>
      </c>
      <c r="O66" s="74">
        <f>(10*LOG(10^P54+10^P55+10^P56+10^P57+10^P58+10^P59+10^P60+10^P61+10^P62+10^P63+10^P64))</f>
        <v>70.371593494872101</v>
      </c>
      <c r="P66" s="75" t="s">
        <v>4</v>
      </c>
      <c r="R66" s="80">
        <f>(10*LOG(10^P54+10^P55+10^P56+10^P57+10^P58+10^P59))</f>
        <v>70.366302760335842</v>
      </c>
      <c r="S66" s="81" t="s">
        <v>4</v>
      </c>
      <c r="T66" s="17"/>
      <c r="U66" s="18"/>
      <c r="V66" s="74">
        <f>(10*LOG(10^W54+10^W55+10^W56+10^W57+10^W58+10^W59+10^W60+10^W61+10^W62+10^W63+10^W64))</f>
        <v>43.197478036667356</v>
      </c>
      <c r="W66" s="75" t="s">
        <v>2</v>
      </c>
      <c r="Y66" s="74">
        <f>(10*LOG(10^Z54+10^Z55+10^Z56+10^Z57+10^Z58+10^Z59+10^Z60+10^Z61+10^Z62+10^Z63+10^Z64))</f>
        <v>65.968280867802321</v>
      </c>
      <c r="Z66" s="75" t="s">
        <v>3</v>
      </c>
      <c r="AB66" s="1" t="s">
        <v>39</v>
      </c>
      <c r="AD66" s="83">
        <f>(Y66-V66)</f>
        <v>22.770802831134965</v>
      </c>
    </row>
    <row r="67" spans="2:30">
      <c r="D67" s="71"/>
      <c r="R67" s="20" t="s">
        <v>38</v>
      </c>
      <c r="S67" s="21"/>
      <c r="T67" s="21"/>
      <c r="U67" s="22"/>
    </row>
    <row r="68" spans="2:30">
      <c r="D68" s="71"/>
    </row>
    <row r="69" spans="2:30">
      <c r="D69" s="71"/>
      <c r="N69" t="s">
        <v>70</v>
      </c>
      <c r="U69" t="s">
        <v>70</v>
      </c>
    </row>
    <row r="70" spans="2:30" ht="18.75">
      <c r="B70" s="70">
        <v>700</v>
      </c>
      <c r="C70" s="58">
        <v>20</v>
      </c>
      <c r="D70" s="114">
        <f>(D39)</f>
        <v>127.32470540278703</v>
      </c>
      <c r="F70" s="44">
        <f>(0.01/1000)*B70</f>
        <v>7.0000000000000001E-3</v>
      </c>
      <c r="H70" s="14">
        <v>5.6</v>
      </c>
      <c r="J70" s="44">
        <v>11</v>
      </c>
      <c r="L70" s="72">
        <f>(20*LOG(B70))</f>
        <v>56.901960800285138</v>
      </c>
      <c r="N70" s="72">
        <f>(Graafit!V54*'Tuulivoimamelu '!O70)-(Graafit!Y54*Graafit!W75)</f>
        <v>0</v>
      </c>
      <c r="O70" s="83">
        <f t="shared" ref="O70:O80" si="13">(D70-F70+H70-J70-L70)</f>
        <v>65.015744602501883</v>
      </c>
      <c r="P70" s="73">
        <f>(O70/10)</f>
        <v>6.5015744602501879</v>
      </c>
      <c r="U70" s="72">
        <f>(Graafit!V114*'Tuulivoimamelu '!V70)-(Graafit!Y114*Graafit!W75)</f>
        <v>0</v>
      </c>
      <c r="V70" s="125">
        <f>(O70+'Muunnokset lin A C'!D27)</f>
        <v>14.615744602501884</v>
      </c>
      <c r="W70" s="73">
        <f>(V70/10)</f>
        <v>1.4615744602501883</v>
      </c>
      <c r="Y70" s="125">
        <f>(O70+'Muunnokset lin A C'!E27)</f>
        <v>58.81574460250188</v>
      </c>
      <c r="Z70" s="73">
        <f>(Y70/10)</f>
        <v>5.8815744602501878</v>
      </c>
    </row>
    <row r="71" spans="2:30" ht="18.75">
      <c r="B71" s="70">
        <v>700</v>
      </c>
      <c r="C71" s="4">
        <v>25</v>
      </c>
      <c r="D71" s="114">
        <f t="shared" ref="D71:D80" si="14">(D40)</f>
        <v>122.92470540278704</v>
      </c>
      <c r="F71" s="44">
        <f>(0.05/1000)*B71</f>
        <v>3.5000000000000003E-2</v>
      </c>
      <c r="H71" s="14">
        <v>5.4</v>
      </c>
      <c r="J71" s="44">
        <v>11</v>
      </c>
      <c r="L71" s="72">
        <f t="shared" ref="L71:L80" si="15">(20*LOG(B71))</f>
        <v>56.901960800285138</v>
      </c>
      <c r="N71" s="72">
        <f>(Graafit!V54*'Tuulivoimamelu '!O71)-(Graafit!Y54*Graafit!W76)</f>
        <v>0</v>
      </c>
      <c r="O71" s="83">
        <f t="shared" si="13"/>
        <v>60.387744602501897</v>
      </c>
      <c r="P71" s="73">
        <f t="shared" ref="P71:P80" si="16">(O71/10)</f>
        <v>6.03877446025019</v>
      </c>
      <c r="U71" s="72">
        <f>(Graafit!V114*'Tuulivoimamelu '!V71)-(Graafit!Y114*Graafit!W76)</f>
        <v>0</v>
      </c>
      <c r="V71" s="125">
        <f>(O71+'Muunnokset lin A C'!D28)</f>
        <v>15.5877446025019</v>
      </c>
      <c r="W71" s="73">
        <f t="shared" ref="W71:W80" si="17">(V71/10)</f>
        <v>1.5587744602501901</v>
      </c>
      <c r="Y71" s="125">
        <f>(O71+'Muunnokset lin A C'!E28)</f>
        <v>55.987744602501898</v>
      </c>
      <c r="Z71" s="73">
        <f t="shared" ref="Z71:Z80" si="18">(Y71/10)</f>
        <v>5.5987744602501897</v>
      </c>
    </row>
    <row r="72" spans="2:30" ht="18.75">
      <c r="B72" s="70">
        <v>700</v>
      </c>
      <c r="C72" s="4">
        <v>31.5</v>
      </c>
      <c r="D72" s="114">
        <f t="shared" si="14"/>
        <v>121.12470540278704</v>
      </c>
      <c r="F72" s="44">
        <f>(0.08/1000)*B72</f>
        <v>5.6000000000000001E-2</v>
      </c>
      <c r="H72" s="14">
        <v>5.2</v>
      </c>
      <c r="J72" s="44">
        <v>11</v>
      </c>
      <c r="L72" s="72">
        <f t="shared" si="15"/>
        <v>56.901960800285138</v>
      </c>
      <c r="N72" s="72">
        <f>(Graafit!V54*'Tuulivoimamelu '!O72)-(Graafit!Y54*Graafit!W77)</f>
        <v>0</v>
      </c>
      <c r="O72" s="83">
        <f t="shared" si="13"/>
        <v>58.36674460250191</v>
      </c>
      <c r="P72" s="73">
        <f t="shared" si="16"/>
        <v>5.8366744602501912</v>
      </c>
      <c r="U72" s="72">
        <f>(Graafit!V114*'Tuulivoimamelu '!V72)-(Graafit!Y114*Graafit!W77)</f>
        <v>0</v>
      </c>
      <c r="V72" s="125">
        <f>(O72+'Muunnokset lin A C'!D29)</f>
        <v>18.86674460250191</v>
      </c>
      <c r="W72" s="73">
        <f t="shared" si="17"/>
        <v>1.886674460250191</v>
      </c>
      <c r="Y72" s="125">
        <f>(O72+'Muunnokset lin A C'!E29)</f>
        <v>55.36674460250191</v>
      </c>
      <c r="Z72" s="73">
        <f t="shared" si="18"/>
        <v>5.5366744602501914</v>
      </c>
    </row>
    <row r="73" spans="2:30" ht="18.75">
      <c r="B73" s="70">
        <v>700</v>
      </c>
      <c r="C73" s="4">
        <v>63</v>
      </c>
      <c r="D73" s="114">
        <f t="shared" si="14"/>
        <v>120.52470540278705</v>
      </c>
      <c r="F73" s="44">
        <f>(0.1/1000)*B73</f>
        <v>7.0000000000000007E-2</v>
      </c>
      <c r="H73" s="14">
        <v>4.3</v>
      </c>
      <c r="J73" s="44">
        <v>11</v>
      </c>
      <c r="L73" s="72">
        <f t="shared" si="15"/>
        <v>56.901960800285138</v>
      </c>
      <c r="N73" s="72">
        <f>(Graafit!V54*'Tuulivoimamelu '!O73)-(Graafit!Y54*Graafit!W78)</f>
        <v>0</v>
      </c>
      <c r="O73" s="83">
        <f t="shared" si="13"/>
        <v>56.852744602501915</v>
      </c>
      <c r="P73" s="73">
        <f t="shared" si="16"/>
        <v>5.6852744602501915</v>
      </c>
      <c r="U73" s="72">
        <f>(Graafit!V114*'Tuulivoimamelu '!V73)-(Graafit!Y114*Graafit!W78)</f>
        <v>0</v>
      </c>
      <c r="V73" s="125">
        <f>(O73+'Muunnokset lin A C'!D32)</f>
        <v>30.652744602501915</v>
      </c>
      <c r="W73" s="73">
        <f t="shared" si="17"/>
        <v>3.0652744602501913</v>
      </c>
      <c r="Y73" s="125">
        <f>(O73+'Muunnokset lin A C'!E32)</f>
        <v>56.052744602501917</v>
      </c>
      <c r="Z73" s="73">
        <f t="shared" si="18"/>
        <v>5.6052744602501914</v>
      </c>
    </row>
    <row r="74" spans="2:30" ht="18.75">
      <c r="B74" s="70">
        <v>700</v>
      </c>
      <c r="C74" s="4">
        <v>125</v>
      </c>
      <c r="D74" s="114">
        <f t="shared" si="14"/>
        <v>116.02470540278705</v>
      </c>
      <c r="F74" s="44">
        <f>(0.4/1000)*B74</f>
        <v>0.28000000000000003</v>
      </c>
      <c r="H74" s="14">
        <v>1.8</v>
      </c>
      <c r="J74" s="44">
        <v>11</v>
      </c>
      <c r="L74" s="72">
        <f t="shared" si="15"/>
        <v>56.901960800285138</v>
      </c>
      <c r="N74" s="72">
        <f>(Graafit!V54*'Tuulivoimamelu '!O74)-(Graafit!Y54*Graafit!W79)</f>
        <v>0</v>
      </c>
      <c r="O74" s="83">
        <f t="shared" si="13"/>
        <v>49.642744602501907</v>
      </c>
      <c r="P74" s="73">
        <f t="shared" si="16"/>
        <v>4.9642744602501905</v>
      </c>
      <c r="U74" s="72">
        <f>(Graafit!V114*'Tuulivoimamelu '!V74)-(Graafit!Y114*Graafit!W79)</f>
        <v>0</v>
      </c>
      <c r="V74" s="125">
        <f>(O74+'Muunnokset lin A C'!D35)</f>
        <v>33.442744602501904</v>
      </c>
      <c r="W74" s="73">
        <f t="shared" si="17"/>
        <v>3.3442744602501904</v>
      </c>
      <c r="Y74" s="125">
        <f>(O74+'Muunnokset lin A C'!E35)</f>
        <v>49.442744602501904</v>
      </c>
      <c r="Z74" s="73">
        <f t="shared" si="18"/>
        <v>4.94427446025019</v>
      </c>
    </row>
    <row r="75" spans="2:30" ht="18.75">
      <c r="B75" s="70">
        <v>700</v>
      </c>
      <c r="C75" s="4">
        <v>250</v>
      </c>
      <c r="D75" s="114">
        <f t="shared" si="14"/>
        <v>109.02470540278703</v>
      </c>
      <c r="F75" s="44">
        <f>(1/1000)*B75</f>
        <v>0.70000000000000007</v>
      </c>
      <c r="H75" s="14">
        <v>-0.5</v>
      </c>
      <c r="J75" s="44">
        <v>11</v>
      </c>
      <c r="L75" s="72">
        <f t="shared" si="15"/>
        <v>56.901960800285138</v>
      </c>
      <c r="N75" s="72">
        <f>(Graafit!V54*'Tuulivoimamelu '!O75)-(Graafit!Y54*Graafit!W80)</f>
        <v>0</v>
      </c>
      <c r="O75" s="83">
        <f t="shared" si="13"/>
        <v>39.922744602501893</v>
      </c>
      <c r="P75" s="73">
        <f t="shared" si="16"/>
        <v>3.9922744602501892</v>
      </c>
      <c r="U75" s="72">
        <f>(Graafit!V114*'Tuulivoimamelu '!V75)-(Graafit!Y114*Graafit!W80)</f>
        <v>0</v>
      </c>
      <c r="V75" s="125">
        <f>(O75+'Muunnokset lin A C'!D38)</f>
        <v>31.322744602501892</v>
      </c>
      <c r="W75" s="73">
        <f t="shared" si="17"/>
        <v>3.1322744602501893</v>
      </c>
      <c r="Y75" s="125">
        <f>(O75+'Muunnokset lin A C'!E38)</f>
        <v>39.922744602501893</v>
      </c>
      <c r="Z75" s="73">
        <f t="shared" si="18"/>
        <v>3.9922744602501892</v>
      </c>
    </row>
    <row r="76" spans="2:30" ht="18.75">
      <c r="B76" s="70">
        <v>700</v>
      </c>
      <c r="C76" s="4">
        <v>500</v>
      </c>
      <c r="D76" s="114">
        <f t="shared" si="14"/>
        <v>106.12470540278704</v>
      </c>
      <c r="F76" s="44">
        <f>(1.9/1000)*B76</f>
        <v>1.33</v>
      </c>
      <c r="H76" s="14">
        <v>-3</v>
      </c>
      <c r="J76" s="44">
        <v>11</v>
      </c>
      <c r="L76" s="72">
        <f t="shared" si="15"/>
        <v>56.901960800285138</v>
      </c>
      <c r="N76" s="72">
        <f>(Graafit!V54*'Tuulivoimamelu '!O76)</f>
        <v>0</v>
      </c>
      <c r="O76" s="83">
        <f t="shared" si="13"/>
        <v>33.892744602501907</v>
      </c>
      <c r="P76" s="73">
        <f t="shared" si="16"/>
        <v>3.3892744602501907</v>
      </c>
      <c r="U76" s="72">
        <f>(Graafit!V114*'Tuulivoimamelu '!V76)</f>
        <v>0</v>
      </c>
      <c r="V76" s="125">
        <f>(O76+'Muunnokset lin A C'!D39)</f>
        <v>30.692744602501907</v>
      </c>
      <c r="W76" s="73">
        <f t="shared" si="17"/>
        <v>3.0692744602501909</v>
      </c>
      <c r="Y76" s="125">
        <f>(O76+'Muunnokset lin A C'!E39)</f>
        <v>33.892744602501907</v>
      </c>
      <c r="Z76" s="73">
        <f t="shared" si="18"/>
        <v>3.3892744602501907</v>
      </c>
    </row>
    <row r="77" spans="2:30" ht="18.75">
      <c r="B77" s="70">
        <v>700</v>
      </c>
      <c r="C77" s="4">
        <v>1000</v>
      </c>
      <c r="D77" s="114">
        <f t="shared" si="14"/>
        <v>105.72470540278704</v>
      </c>
      <c r="F77" s="44">
        <f>(3.7/1000)*B77</f>
        <v>2.5900000000000003</v>
      </c>
      <c r="H77" s="14">
        <v>-1</v>
      </c>
      <c r="J77" s="44">
        <v>11</v>
      </c>
      <c r="L77" s="72">
        <f t="shared" si="15"/>
        <v>56.901960800285138</v>
      </c>
      <c r="N77" s="72">
        <f>(Graafit!V54*'Tuulivoimamelu '!O77)</f>
        <v>0</v>
      </c>
      <c r="O77" s="83">
        <f t="shared" si="13"/>
        <v>34.232744602501896</v>
      </c>
      <c r="P77" s="73">
        <f t="shared" si="16"/>
        <v>3.4232744602501897</v>
      </c>
      <c r="U77" s="72">
        <f>(Graafit!V114*'Tuulivoimamelu '!V77)</f>
        <v>0</v>
      </c>
      <c r="V77" s="125">
        <f>(O77+'Muunnokset lin A C'!D40)</f>
        <v>34.232744602501896</v>
      </c>
      <c r="W77" s="73">
        <f t="shared" si="17"/>
        <v>3.4232744602501897</v>
      </c>
      <c r="Y77" s="125">
        <f>(O77+'Muunnokset lin A C'!E40)</f>
        <v>34.232744602501896</v>
      </c>
      <c r="Z77" s="73">
        <f t="shared" si="18"/>
        <v>3.4232744602501897</v>
      </c>
    </row>
    <row r="78" spans="2:30" ht="18.75">
      <c r="B78" s="70">
        <v>700</v>
      </c>
      <c r="C78" s="4">
        <v>2000</v>
      </c>
      <c r="D78" s="114">
        <f t="shared" si="14"/>
        <v>102.42470540278704</v>
      </c>
      <c r="F78" s="44">
        <f>(9.7/1000)*B78</f>
        <v>6.7899999999999991</v>
      </c>
      <c r="H78" s="14">
        <v>0</v>
      </c>
      <c r="J78" s="44">
        <v>11</v>
      </c>
      <c r="L78" s="72">
        <f t="shared" si="15"/>
        <v>56.901960800285138</v>
      </c>
      <c r="N78" s="72">
        <f>(Graafit!V54*'Tuulivoimamelu '!O78)</f>
        <v>0</v>
      </c>
      <c r="O78" s="83">
        <f t="shared" si="13"/>
        <v>27.732744602501896</v>
      </c>
      <c r="P78" s="73">
        <f t="shared" si="16"/>
        <v>2.7732744602501898</v>
      </c>
      <c r="U78" s="72">
        <f>(Graafit!V114*'Tuulivoimamelu '!V78)</f>
        <v>0</v>
      </c>
      <c r="V78" s="125">
        <f>(O78+'Muunnokset lin A C'!D41)</f>
        <v>28.932744602501895</v>
      </c>
      <c r="W78" s="73">
        <f t="shared" si="17"/>
        <v>2.8932744602501894</v>
      </c>
      <c r="Y78" s="125">
        <f>(O78+'Muunnokset lin A C'!E41)</f>
        <v>27.532744602501896</v>
      </c>
      <c r="Z78" s="73">
        <f t="shared" si="18"/>
        <v>2.7532744602501897</v>
      </c>
    </row>
    <row r="79" spans="2:30" ht="18.75">
      <c r="B79" s="70">
        <v>700</v>
      </c>
      <c r="C79" s="4">
        <v>4000</v>
      </c>
      <c r="D79" s="114">
        <f t="shared" si="14"/>
        <v>97.724705402787038</v>
      </c>
      <c r="F79" s="44">
        <f>(32.8/1000)*B79</f>
        <v>22.959999999999997</v>
      </c>
      <c r="H79" s="14">
        <v>0</v>
      </c>
      <c r="J79" s="44">
        <v>11</v>
      </c>
      <c r="L79" s="72">
        <f t="shared" si="15"/>
        <v>56.901960800285138</v>
      </c>
      <c r="N79" s="72">
        <f>(Graafit!V54*'Tuulivoimamelu '!O79)</f>
        <v>0</v>
      </c>
      <c r="O79" s="83">
        <f t="shared" si="13"/>
        <v>6.8627446025019054</v>
      </c>
      <c r="P79" s="73">
        <f t="shared" si="16"/>
        <v>0.68627446025019057</v>
      </c>
      <c r="U79" s="72">
        <f>(Graafit!V114*'Tuulivoimamelu '!V79)</f>
        <v>0</v>
      </c>
      <c r="V79" s="125">
        <f>(O79+'Muunnokset lin A C'!D42)</f>
        <v>7.8627446025019054</v>
      </c>
      <c r="W79" s="73">
        <f t="shared" si="17"/>
        <v>0.78627446025019054</v>
      </c>
      <c r="Y79" s="125">
        <f>(O79+'Muunnokset lin A C'!E42)</f>
        <v>6.0627446025019056</v>
      </c>
      <c r="Z79" s="73">
        <f t="shared" si="18"/>
        <v>0.60627446025019061</v>
      </c>
    </row>
    <row r="80" spans="2:30" ht="18.75">
      <c r="B80" s="70">
        <v>700</v>
      </c>
      <c r="C80" s="4">
        <v>8000</v>
      </c>
      <c r="D80" s="114">
        <f t="shared" si="14"/>
        <v>92.024705402787035</v>
      </c>
      <c r="F80" s="44">
        <f>(117/1000)*B80</f>
        <v>81.900000000000006</v>
      </c>
      <c r="H80" s="14">
        <v>0</v>
      </c>
      <c r="J80" s="44">
        <v>11</v>
      </c>
      <c r="L80" s="72">
        <f t="shared" si="15"/>
        <v>56.901960800285138</v>
      </c>
      <c r="N80" s="72">
        <f>(Graafit!V54*'Tuulivoimamelu '!O80)</f>
        <v>0</v>
      </c>
      <c r="O80" s="83">
        <f t="shared" si="13"/>
        <v>-57.777255397498109</v>
      </c>
      <c r="P80" s="73">
        <f t="shared" si="16"/>
        <v>-5.7777255397498113</v>
      </c>
      <c r="U80" s="72">
        <f>(Graafit!V114*'Tuulivoimamelu '!V80)</f>
        <v>0</v>
      </c>
      <c r="V80" s="125">
        <f>(O80+'Muunnokset lin A C'!D43)</f>
        <v>-58.877255397498111</v>
      </c>
      <c r="W80" s="73">
        <f t="shared" si="17"/>
        <v>-5.8877255397498107</v>
      </c>
      <c r="Y80" s="125">
        <f>(O80+'Muunnokset lin A C'!E43)</f>
        <v>-60.777255397498109</v>
      </c>
      <c r="Z80" s="73">
        <f t="shared" si="18"/>
        <v>-6.0777255397498111</v>
      </c>
    </row>
    <row r="81" spans="2:30">
      <c r="D81" s="71"/>
    </row>
    <row r="82" spans="2:30" ht="21">
      <c r="D82" s="71"/>
      <c r="N82" s="76">
        <f>(B70)</f>
        <v>700</v>
      </c>
      <c r="O82" s="74">
        <f>(10*LOG(10^P70+10^P71+10^P72+10^P73+10^P74+10^P75+10^P76+10^P77+10^P78+10^P79+10^P80))</f>
        <v>67.439649077731772</v>
      </c>
      <c r="P82" s="75" t="s">
        <v>4</v>
      </c>
      <c r="R82" s="80">
        <f>(10*LOG(10^P70+10^P71+10^P72+10^P73+10^P74+10^P75))</f>
        <v>67.435183919232358</v>
      </c>
      <c r="S82" s="81" t="s">
        <v>4</v>
      </c>
      <c r="T82" s="17"/>
      <c r="U82" s="18"/>
      <c r="V82" s="74">
        <f>(10*LOG(10^W70+10^W71+10^W72+10^W73+10^W74+10^W75+10^W76+10^W77+10^W78+10^W79+10^W80))</f>
        <v>39.768614158449147</v>
      </c>
      <c r="W82" s="75" t="s">
        <v>2</v>
      </c>
      <c r="Y82" s="74">
        <f>(10*LOG(10^Z70+10^Z71+10^Z72+10^Z73+10^Z74+10^Z75+10^Z76+10^Z77+10^Z78+10^Z79+10^Z80))</f>
        <v>63.029441469612884</v>
      </c>
      <c r="Z82" s="75" t="s">
        <v>3</v>
      </c>
      <c r="AB82" s="1" t="s">
        <v>39</v>
      </c>
      <c r="AD82" s="83">
        <f>(Y82-V82)</f>
        <v>23.260827311163737</v>
      </c>
    </row>
    <row r="83" spans="2:30">
      <c r="D83" s="71"/>
      <c r="R83" s="20" t="s">
        <v>38</v>
      </c>
      <c r="S83" s="21"/>
      <c r="T83" s="21"/>
      <c r="U83" s="22"/>
    </row>
    <row r="84" spans="2:30">
      <c r="D84" s="71"/>
    </row>
    <row r="85" spans="2:30">
      <c r="D85" s="71"/>
      <c r="N85" t="s">
        <v>70</v>
      </c>
      <c r="U85" t="s">
        <v>70</v>
      </c>
    </row>
    <row r="86" spans="2:30" ht="18.75">
      <c r="B86" s="70">
        <v>900</v>
      </c>
      <c r="C86" s="58">
        <v>20</v>
      </c>
      <c r="D86" s="114">
        <f>(D39)</f>
        <v>127.32470540278703</v>
      </c>
      <c r="F86" s="44">
        <f>(0.01/1000)*B86</f>
        <v>9.0000000000000011E-3</v>
      </c>
      <c r="H86" s="14">
        <v>5.6</v>
      </c>
      <c r="J86" s="44">
        <v>11</v>
      </c>
      <c r="L86" s="72">
        <f>(20*LOG(B86))</f>
        <v>59.084850188786497</v>
      </c>
      <c r="N86" s="72">
        <f>(Graafit!V55*'Tuulivoimamelu '!O86)-(Graafit!Y55*Graafit!W75)</f>
        <v>0</v>
      </c>
      <c r="O86" s="72">
        <f t="shared" ref="O86" si="19">(D86-F86+H86-J86-L86)</f>
        <v>62.830855214000543</v>
      </c>
      <c r="P86" s="73">
        <f>(O86/10)</f>
        <v>6.2830855214000545</v>
      </c>
      <c r="U86" s="72">
        <f>(Graafit!V115*'Tuulivoimamelu '!V86)-(Graafit!Y115*Graafit!W75)</f>
        <v>0</v>
      </c>
      <c r="V86" s="71">
        <f>(O86+'Muunnokset lin A C'!D27)</f>
        <v>12.430855214000545</v>
      </c>
      <c r="W86" s="73">
        <f>(V86/10)</f>
        <v>1.2430855214000545</v>
      </c>
      <c r="Y86" s="71">
        <f>(O86+'Muunnokset lin A C'!E27)</f>
        <v>56.63085521400054</v>
      </c>
      <c r="Z86" s="73">
        <f>(Y86/10)</f>
        <v>5.6630855214000544</v>
      </c>
    </row>
    <row r="87" spans="2:30" ht="18.75">
      <c r="B87" s="70">
        <v>900</v>
      </c>
      <c r="C87" s="4">
        <v>25</v>
      </c>
      <c r="D87" s="114">
        <f t="shared" ref="D87:D96" si="20">(D40)</f>
        <v>122.92470540278704</v>
      </c>
      <c r="F87" s="44">
        <f>(0.05/1000)*B87</f>
        <v>4.5000000000000005E-2</v>
      </c>
      <c r="H87" s="14">
        <v>5.4</v>
      </c>
      <c r="J87" s="44">
        <v>11</v>
      </c>
      <c r="L87" s="72">
        <f t="shared" ref="L87:L96" si="21">(20*LOG(B87))</f>
        <v>59.084850188786497</v>
      </c>
      <c r="N87" s="72">
        <f>(Graafit!V55*'Tuulivoimamelu '!O87)-(Graafit!Y55*Graafit!W76)</f>
        <v>0</v>
      </c>
      <c r="O87" s="72">
        <f t="shared" ref="O87:O96" si="22">(D87-F87+H87-J87-L87)</f>
        <v>58.194855214000548</v>
      </c>
      <c r="P87" s="73">
        <f t="shared" ref="P87:P96" si="23">(O87/10)</f>
        <v>5.8194855214000549</v>
      </c>
      <c r="U87" s="72">
        <f>(Graafit!V115*'Tuulivoimamelu '!V87)-(Graafit!Y115*Graafit!W76)</f>
        <v>0</v>
      </c>
      <c r="V87" s="71">
        <f>(O87+'Muunnokset lin A C'!D28)</f>
        <v>13.39485521400055</v>
      </c>
      <c r="W87" s="73">
        <f t="shared" ref="W87:W96" si="24">(V87/10)</f>
        <v>1.3394855214000549</v>
      </c>
      <c r="Y87" s="71">
        <f>(O87+'Muunnokset lin A C'!E28)</f>
        <v>53.794855214000549</v>
      </c>
      <c r="Z87" s="73">
        <f t="shared" ref="Z87:Z96" si="25">(Y87/10)</f>
        <v>5.3794855214000545</v>
      </c>
    </row>
    <row r="88" spans="2:30" ht="18.75">
      <c r="B88" s="70">
        <v>900</v>
      </c>
      <c r="C88" s="4">
        <v>31.5</v>
      </c>
      <c r="D88" s="114">
        <f t="shared" si="20"/>
        <v>121.12470540278704</v>
      </c>
      <c r="F88" s="44">
        <f>(0.08/1000)*B88</f>
        <v>7.2000000000000008E-2</v>
      </c>
      <c r="H88" s="14">
        <v>5.2</v>
      </c>
      <c r="J88" s="44">
        <v>11</v>
      </c>
      <c r="L88" s="72">
        <f t="shared" si="21"/>
        <v>59.084850188786497</v>
      </c>
      <c r="N88" s="72">
        <f>(Graafit!V55*'Tuulivoimamelu '!O88)-(Graafit!Y55*Graafit!W77)</f>
        <v>0</v>
      </c>
      <c r="O88" s="72">
        <f t="shared" si="22"/>
        <v>56.167855214000546</v>
      </c>
      <c r="P88" s="73">
        <f t="shared" si="23"/>
        <v>5.6167855214000548</v>
      </c>
      <c r="U88" s="72">
        <f>(Graafit!V115*'Tuulivoimamelu '!V88)-(Graafit!Y115*Graafit!W77)</f>
        <v>0</v>
      </c>
      <c r="V88" s="71">
        <f>(O88+'Muunnokset lin A C'!D29)</f>
        <v>16.667855214000546</v>
      </c>
      <c r="W88" s="73">
        <f t="shared" si="24"/>
        <v>1.6667855214000546</v>
      </c>
      <c r="Y88" s="71">
        <f>(O88+'Muunnokset lin A C'!E29)</f>
        <v>53.167855214000546</v>
      </c>
      <c r="Z88" s="73">
        <f t="shared" si="25"/>
        <v>5.316785521400055</v>
      </c>
    </row>
    <row r="89" spans="2:30" ht="18.75">
      <c r="B89" s="70">
        <v>900</v>
      </c>
      <c r="C89" s="4">
        <v>63</v>
      </c>
      <c r="D89" s="114">
        <f t="shared" si="20"/>
        <v>120.52470540278705</v>
      </c>
      <c r="F89" s="44">
        <f>(0.1/1000)*B89</f>
        <v>9.0000000000000011E-2</v>
      </c>
      <c r="H89" s="14">
        <v>4.3</v>
      </c>
      <c r="J89" s="44">
        <v>11</v>
      </c>
      <c r="L89" s="72">
        <f t="shared" si="21"/>
        <v>59.084850188786497</v>
      </c>
      <c r="N89" s="72">
        <f>(Graafit!V55*'Tuulivoimamelu '!O89)-(Graafit!Y55*Graafit!W78)</f>
        <v>0</v>
      </c>
      <c r="O89" s="72">
        <f t="shared" si="22"/>
        <v>54.649855214000546</v>
      </c>
      <c r="P89" s="73">
        <f t="shared" si="23"/>
        <v>5.4649855214000542</v>
      </c>
      <c r="U89" s="72">
        <f>(Graafit!V115*'Tuulivoimamelu '!V89)-(Graafit!Y115*Graafit!W78)</f>
        <v>0</v>
      </c>
      <c r="V89" s="71">
        <f>(O89+'Muunnokset lin A C'!D32)</f>
        <v>28.449855214000547</v>
      </c>
      <c r="W89" s="73">
        <f t="shared" si="24"/>
        <v>2.8449855214000546</v>
      </c>
      <c r="Y89" s="71">
        <f>(O89+'Muunnokset lin A C'!E32)</f>
        <v>53.849855214000549</v>
      </c>
      <c r="Z89" s="73">
        <f t="shared" si="25"/>
        <v>5.384985521400055</v>
      </c>
    </row>
    <row r="90" spans="2:30" ht="18.75">
      <c r="B90" s="70">
        <v>900</v>
      </c>
      <c r="C90" s="4">
        <v>125</v>
      </c>
      <c r="D90" s="114">
        <f t="shared" si="20"/>
        <v>116.02470540278705</v>
      </c>
      <c r="F90" s="44">
        <f>(0.4/1000)*B90</f>
        <v>0.36000000000000004</v>
      </c>
      <c r="H90" s="14">
        <v>1.8</v>
      </c>
      <c r="J90" s="44">
        <v>11</v>
      </c>
      <c r="L90" s="72">
        <f t="shared" si="21"/>
        <v>59.084850188786497</v>
      </c>
      <c r="N90" s="72">
        <f>(Graafit!V55*'Tuulivoimamelu '!O90)-(Graafit!Y55*Graafit!W79)</f>
        <v>0</v>
      </c>
      <c r="O90" s="72">
        <f t="shared" si="22"/>
        <v>47.37985521400055</v>
      </c>
      <c r="P90" s="73">
        <f t="shared" si="23"/>
        <v>4.7379855214000548</v>
      </c>
      <c r="U90" s="72">
        <f>(Graafit!V115*'Tuulivoimamelu '!V90)-(Graafit!Y115*Graafit!W79)</f>
        <v>0</v>
      </c>
      <c r="V90" s="71">
        <f>(O90+'Muunnokset lin A C'!D35)</f>
        <v>31.17985521400055</v>
      </c>
      <c r="W90" s="73">
        <f t="shared" si="24"/>
        <v>3.1179855214000551</v>
      </c>
      <c r="Y90" s="71">
        <f>(O90+'Muunnokset lin A C'!E35)</f>
        <v>47.179855214000547</v>
      </c>
      <c r="Z90" s="73">
        <f t="shared" si="25"/>
        <v>4.7179855214000543</v>
      </c>
    </row>
    <row r="91" spans="2:30" ht="18.75">
      <c r="B91" s="70">
        <v>900</v>
      </c>
      <c r="C91" s="4">
        <v>250</v>
      </c>
      <c r="D91" s="114">
        <f t="shared" si="20"/>
        <v>109.02470540278703</v>
      </c>
      <c r="F91" s="44">
        <f>(1/1000)*B91</f>
        <v>0.9</v>
      </c>
      <c r="H91" s="14">
        <v>-0.5</v>
      </c>
      <c r="J91" s="44">
        <v>11</v>
      </c>
      <c r="L91" s="72">
        <f t="shared" si="21"/>
        <v>59.084850188786497</v>
      </c>
      <c r="N91" s="72">
        <f>(Graafit!V55*'Tuulivoimamelu '!O91)-(Graafit!Y55*Graafit!W80)</f>
        <v>0</v>
      </c>
      <c r="O91" s="72">
        <f t="shared" si="22"/>
        <v>37.539855214000532</v>
      </c>
      <c r="P91" s="73">
        <f t="shared" si="23"/>
        <v>3.753985521400053</v>
      </c>
      <c r="U91" s="72">
        <f>(Graafit!V115*'Tuulivoimamelu '!V91)-(Graafit!Y115*Graafit!W80)</f>
        <v>0</v>
      </c>
      <c r="V91" s="71">
        <f>(O91+'Muunnokset lin A C'!D38)</f>
        <v>28.939855214000531</v>
      </c>
      <c r="W91" s="73">
        <f t="shared" si="24"/>
        <v>2.8939855214000532</v>
      </c>
      <c r="Y91" s="71">
        <f>(O91+'Muunnokset lin A C'!E38)</f>
        <v>37.539855214000532</v>
      </c>
      <c r="Z91" s="73">
        <f t="shared" si="25"/>
        <v>3.753985521400053</v>
      </c>
    </row>
    <row r="92" spans="2:30" ht="18.75">
      <c r="B92" s="70">
        <v>900</v>
      </c>
      <c r="C92" s="4">
        <v>500</v>
      </c>
      <c r="D92" s="114">
        <f t="shared" si="20"/>
        <v>106.12470540278704</v>
      </c>
      <c r="F92" s="44">
        <f>(1.9/1000)*B92</f>
        <v>1.71</v>
      </c>
      <c r="H92" s="14">
        <v>-3</v>
      </c>
      <c r="J92" s="44">
        <v>11</v>
      </c>
      <c r="L92" s="72">
        <f t="shared" si="21"/>
        <v>59.084850188786497</v>
      </c>
      <c r="N92" s="72">
        <f>(Graafit!V55*'Tuulivoimamelu '!O92)</f>
        <v>0</v>
      </c>
      <c r="O92" s="72">
        <f t="shared" si="22"/>
        <v>31.329855214000553</v>
      </c>
      <c r="P92" s="73">
        <f t="shared" si="23"/>
        <v>3.1329855214000553</v>
      </c>
      <c r="U92" s="72">
        <f>(Graafit!V115*'Tuulivoimamelu '!V92)</f>
        <v>0</v>
      </c>
      <c r="V92" s="71">
        <f>(O92+'Muunnokset lin A C'!D39)</f>
        <v>28.129855214000553</v>
      </c>
      <c r="W92" s="73">
        <f t="shared" si="24"/>
        <v>2.8129855214000554</v>
      </c>
      <c r="Y92" s="71">
        <f>(O92+'Muunnokset lin A C'!E39)</f>
        <v>31.329855214000553</v>
      </c>
      <c r="Z92" s="73">
        <f t="shared" si="25"/>
        <v>3.1329855214000553</v>
      </c>
    </row>
    <row r="93" spans="2:30" ht="18.75">
      <c r="B93" s="70">
        <v>900</v>
      </c>
      <c r="C93" s="4">
        <v>1000</v>
      </c>
      <c r="D93" s="114">
        <f t="shared" si="20"/>
        <v>105.72470540278704</v>
      </c>
      <c r="F93" s="44">
        <f>(3.7/1000)*B93</f>
        <v>3.33</v>
      </c>
      <c r="H93" s="14">
        <v>-1</v>
      </c>
      <c r="J93" s="44">
        <v>11</v>
      </c>
      <c r="L93" s="72">
        <f t="shared" si="21"/>
        <v>59.084850188786497</v>
      </c>
      <c r="N93" s="72">
        <f>(Graafit!V55*'Tuulivoimamelu '!O93)</f>
        <v>0</v>
      </c>
      <c r="O93" s="72">
        <f t="shared" si="22"/>
        <v>31.309855214000542</v>
      </c>
      <c r="P93" s="73">
        <f t="shared" si="23"/>
        <v>3.1309855214000542</v>
      </c>
      <c r="U93" s="72">
        <f>(Graafit!V115*'Tuulivoimamelu '!V93)</f>
        <v>0</v>
      </c>
      <c r="V93" s="71">
        <f>(O93+'Muunnokset lin A C'!D40)</f>
        <v>31.309855214000542</v>
      </c>
      <c r="W93" s="73">
        <f t="shared" si="24"/>
        <v>3.1309855214000542</v>
      </c>
      <c r="Y93" s="71">
        <f>(O93+'Muunnokset lin A C'!E40)</f>
        <v>31.309855214000542</v>
      </c>
      <c r="Z93" s="73">
        <f t="shared" si="25"/>
        <v>3.1309855214000542</v>
      </c>
    </row>
    <row r="94" spans="2:30" ht="18.75">
      <c r="B94" s="70">
        <v>900</v>
      </c>
      <c r="C94" s="4">
        <v>2000</v>
      </c>
      <c r="D94" s="114">
        <f t="shared" si="20"/>
        <v>102.42470540278704</v>
      </c>
      <c r="F94" s="44">
        <f>(9.7/1000)*B94</f>
        <v>8.7299999999999986</v>
      </c>
      <c r="H94" s="14">
        <v>0</v>
      </c>
      <c r="J94" s="44">
        <v>11</v>
      </c>
      <c r="L94" s="72">
        <f t="shared" si="21"/>
        <v>59.084850188786497</v>
      </c>
      <c r="N94" s="72">
        <f>(Graafit!V55*'Tuulivoimamelu '!O94)</f>
        <v>0</v>
      </c>
      <c r="O94" s="72">
        <f t="shared" si="22"/>
        <v>23.60985521400054</v>
      </c>
      <c r="P94" s="73">
        <f t="shared" si="23"/>
        <v>2.3609855214000541</v>
      </c>
      <c r="U94" s="72">
        <f>(Graafit!V115*'Tuulivoimamelu '!V94)</f>
        <v>0</v>
      </c>
      <c r="V94" s="71">
        <f>(O94+'Muunnokset lin A C'!D41)</f>
        <v>24.809855214000539</v>
      </c>
      <c r="W94" s="73">
        <f t="shared" si="24"/>
        <v>2.4809855214000538</v>
      </c>
      <c r="Y94" s="71">
        <f>(O94+'Muunnokset lin A C'!E41)</f>
        <v>23.40985521400054</v>
      </c>
      <c r="Z94" s="73">
        <f t="shared" si="25"/>
        <v>2.3409855214000541</v>
      </c>
    </row>
    <row r="95" spans="2:30" ht="18.75">
      <c r="B95" s="70">
        <v>900</v>
      </c>
      <c r="C95" s="4">
        <v>4000</v>
      </c>
      <c r="D95" s="114">
        <f t="shared" si="20"/>
        <v>97.724705402787038</v>
      </c>
      <c r="F95" s="44">
        <f>(32.8/1000)*B95</f>
        <v>29.519999999999996</v>
      </c>
      <c r="H95" s="14">
        <v>0</v>
      </c>
      <c r="J95" s="44">
        <v>11</v>
      </c>
      <c r="L95" s="72">
        <f t="shared" si="21"/>
        <v>59.084850188786497</v>
      </c>
      <c r="N95" s="72">
        <f>(Graafit!V55*'Tuulivoimamelu '!O95)</f>
        <v>0</v>
      </c>
      <c r="O95" s="72">
        <f t="shared" si="22"/>
        <v>-1.8801447859994553</v>
      </c>
      <c r="P95" s="73">
        <f t="shared" si="23"/>
        <v>-0.18801447859994552</v>
      </c>
      <c r="U95" s="72">
        <f>(Graafit!V115*'Tuulivoimamelu '!V95)</f>
        <v>0</v>
      </c>
      <c r="V95" s="71">
        <f>(O95+'Muunnokset lin A C'!D42)</f>
        <v>-0.88014478599945534</v>
      </c>
      <c r="W95" s="73">
        <f t="shared" si="24"/>
        <v>-8.8014478599945531E-2</v>
      </c>
      <c r="Y95" s="71">
        <f>(O95+'Muunnokset lin A C'!E42)</f>
        <v>-2.6801447859994552</v>
      </c>
      <c r="Z95" s="73">
        <f t="shared" si="25"/>
        <v>-0.26801447859994554</v>
      </c>
    </row>
    <row r="96" spans="2:30" ht="18.75">
      <c r="B96" s="70">
        <v>900</v>
      </c>
      <c r="C96" s="4">
        <v>8000</v>
      </c>
      <c r="D96" s="114">
        <f t="shared" si="20"/>
        <v>92.024705402787035</v>
      </c>
      <c r="F96" s="44">
        <f>(117/1000)*B96</f>
        <v>105.30000000000001</v>
      </c>
      <c r="H96" s="14">
        <v>0</v>
      </c>
      <c r="J96" s="44">
        <v>11</v>
      </c>
      <c r="L96" s="72">
        <f t="shared" si="21"/>
        <v>59.084850188786497</v>
      </c>
      <c r="N96" s="72">
        <f>(Graafit!V55*'Tuulivoimamelu '!O96)</f>
        <v>0</v>
      </c>
      <c r="O96" s="72">
        <f t="shared" si="22"/>
        <v>-83.360144785999466</v>
      </c>
      <c r="P96" s="73">
        <f t="shared" si="23"/>
        <v>-8.3360144785999459</v>
      </c>
      <c r="U96" s="72">
        <f>(Graafit!V115*'Tuulivoimamelu '!V96)</f>
        <v>0</v>
      </c>
      <c r="V96" s="71">
        <f>(O96+'Muunnokset lin A C'!D43)</f>
        <v>-84.460144785999461</v>
      </c>
      <c r="W96" s="73">
        <f t="shared" si="24"/>
        <v>-8.4460144785999454</v>
      </c>
      <c r="Y96" s="71">
        <f>(O96+'Muunnokset lin A C'!E43)</f>
        <v>-86.360144785999466</v>
      </c>
      <c r="Z96" s="73">
        <f t="shared" si="25"/>
        <v>-8.6360144785999466</v>
      </c>
    </row>
    <row r="97" spans="2:30">
      <c r="D97" s="71"/>
    </row>
    <row r="98" spans="2:30" ht="21">
      <c r="D98" s="71"/>
      <c r="N98" s="76">
        <f>(B86)</f>
        <v>900</v>
      </c>
      <c r="O98" s="74">
        <f>(10*LOG(10^P86+10^P87+10^P88+10^P89+10^P90+10^P91+10^P92+10^P93+10^P94+10^P95+10^P96))</f>
        <v>65.247597206458266</v>
      </c>
      <c r="P98" s="75" t="s">
        <v>4</v>
      </c>
      <c r="R98" s="80">
        <f>(10*LOG(10^P86+10^P87+10^P88+10^P89+10^P90+10^P91))</f>
        <v>65.243780891772317</v>
      </c>
      <c r="S98" s="81" t="s">
        <v>4</v>
      </c>
      <c r="T98" s="17"/>
      <c r="U98" s="18"/>
      <c r="V98" s="74">
        <f>(10*LOG(10^W86+10^W87+10^W88+10^W89+10^W90+10^W91+10^W92+10^W93+10^W94+10^W95+10^W96))</f>
        <v>37.148989893772544</v>
      </c>
      <c r="W98" s="75" t="s">
        <v>2</v>
      </c>
      <c r="Y98" s="74">
        <f>(10*LOG(10^Z86+10^Z87+10^Z88+10^Z89+10^Z90+10^Z91+10^Z92+10^Z93+10^Z94+10^Z95+10^Z96))</f>
        <v>60.830837365211543</v>
      </c>
      <c r="Z98" s="75" t="s">
        <v>3</v>
      </c>
      <c r="AB98" s="1" t="s">
        <v>39</v>
      </c>
      <c r="AD98" s="83">
        <f>(Y98-V98)</f>
        <v>23.681847471438999</v>
      </c>
    </row>
    <row r="99" spans="2:30">
      <c r="D99" s="71"/>
      <c r="R99" s="20" t="s">
        <v>38</v>
      </c>
      <c r="S99" s="21"/>
      <c r="T99" s="21"/>
      <c r="U99" s="22"/>
    </row>
    <row r="100" spans="2:30">
      <c r="D100" s="71"/>
    </row>
    <row r="101" spans="2:30">
      <c r="D101" s="71"/>
      <c r="N101" t="s">
        <v>70</v>
      </c>
      <c r="U101" t="s">
        <v>70</v>
      </c>
    </row>
    <row r="102" spans="2:30" ht="18.75">
      <c r="B102" s="70">
        <v>1100</v>
      </c>
      <c r="C102" s="58">
        <v>20</v>
      </c>
      <c r="D102" s="114">
        <f>(D39)</f>
        <v>127.32470540278703</v>
      </c>
      <c r="F102" s="44">
        <f>(0.01/1000)*B102</f>
        <v>1.1000000000000001E-2</v>
      </c>
      <c r="H102" s="14">
        <v>5.6</v>
      </c>
      <c r="J102" s="44">
        <v>11</v>
      </c>
      <c r="L102" s="72">
        <f>(20*LOG(B102))</f>
        <v>60.8278537031645</v>
      </c>
      <c r="N102" s="72">
        <f>(Graafit!V56*'Tuulivoimamelu '!O102)-(Graafit!Y56*Graafit!W75)</f>
        <v>0</v>
      </c>
      <c r="O102" s="72">
        <f t="shared" ref="O102" si="26">(D102-F102+H102-J102-L102)</f>
        <v>61.08585169962253</v>
      </c>
      <c r="P102" s="73">
        <f>(O102/10)</f>
        <v>6.1085851699622529</v>
      </c>
      <c r="U102" s="72">
        <f>(Graafit!V116*'Tuulivoimamelu '!V102)-(Graafit!Y116*Graafit!W75)</f>
        <v>0</v>
      </c>
      <c r="V102" s="82">
        <f>(O102+'Muunnokset lin A C'!D27)</f>
        <v>10.685851699622532</v>
      </c>
      <c r="W102" s="73">
        <f>(V102/10)</f>
        <v>1.0685851699622533</v>
      </c>
      <c r="Y102" s="71">
        <f>(O102+'Muunnokset lin A C'!E27)</f>
        <v>54.885851699622528</v>
      </c>
      <c r="Z102" s="73">
        <f>(Y102/10)</f>
        <v>5.4885851699622528</v>
      </c>
    </row>
    <row r="103" spans="2:30" ht="18.75">
      <c r="B103" s="70">
        <v>1100</v>
      </c>
      <c r="C103" s="4">
        <v>25</v>
      </c>
      <c r="D103" s="114">
        <f t="shared" ref="D103:D112" si="27">(D40)</f>
        <v>122.92470540278704</v>
      </c>
      <c r="F103" s="44">
        <f>(0.05/1000)*B103</f>
        <v>5.5E-2</v>
      </c>
      <c r="H103" s="14">
        <v>5.4</v>
      </c>
      <c r="J103" s="44">
        <v>11</v>
      </c>
      <c r="L103" s="72">
        <f t="shared" ref="L103:L112" si="28">(20*LOG(B103))</f>
        <v>60.8278537031645</v>
      </c>
      <c r="N103" s="72">
        <f>(Graafit!V56*'Tuulivoimamelu '!O103)-(Graafit!Y56*Graafit!W76)</f>
        <v>0</v>
      </c>
      <c r="O103" s="72">
        <f t="shared" ref="O103:O112" si="29">(D103-F103+H103-J103-L103)</f>
        <v>56.441851699622525</v>
      </c>
      <c r="P103" s="73">
        <f t="shared" ref="P103:P112" si="30">(O103/10)</f>
        <v>5.6441851699622525</v>
      </c>
      <c r="U103" s="72">
        <f>(Graafit!V116*'Tuulivoimamelu '!V103)-(Graafit!Y116*Graafit!W76)</f>
        <v>0</v>
      </c>
      <c r="V103" s="71">
        <f>(O103+'Muunnokset lin A C'!D28)</f>
        <v>11.641851699622528</v>
      </c>
      <c r="W103" s="73">
        <f t="shared" ref="W103:W112" si="31">(V103/10)</f>
        <v>1.1641851699622527</v>
      </c>
      <c r="Y103" s="71">
        <f>(O103+'Muunnokset lin A C'!E28)</f>
        <v>52.041851699622526</v>
      </c>
      <c r="Z103" s="73">
        <f t="shared" ref="Z103:Z112" si="32">(Y103/10)</f>
        <v>5.204185169962253</v>
      </c>
    </row>
    <row r="104" spans="2:30" ht="18.75">
      <c r="B104" s="70">
        <v>1100</v>
      </c>
      <c r="C104" s="4">
        <v>31.5</v>
      </c>
      <c r="D104" s="114">
        <f t="shared" si="27"/>
        <v>121.12470540278704</v>
      </c>
      <c r="F104" s="44">
        <f>(0.08/1000)*B104</f>
        <v>8.8000000000000009E-2</v>
      </c>
      <c r="H104" s="14">
        <v>5.2</v>
      </c>
      <c r="J104" s="44">
        <v>11</v>
      </c>
      <c r="L104" s="72">
        <f t="shared" si="28"/>
        <v>60.8278537031645</v>
      </c>
      <c r="N104" s="72">
        <f>(Graafit!V56*'Tuulivoimamelu '!O104)-(Graafit!Y56*Graafit!W77)</f>
        <v>0</v>
      </c>
      <c r="O104" s="72">
        <f t="shared" si="29"/>
        <v>54.408851699622552</v>
      </c>
      <c r="P104" s="73">
        <f t="shared" si="30"/>
        <v>5.4408851699622556</v>
      </c>
      <c r="U104" s="72">
        <f>(Graafit!V116*'Tuulivoimamelu '!V104)-(Graafit!Y116*Graafit!W77)</f>
        <v>0</v>
      </c>
      <c r="V104" s="71">
        <f>(O104+'Muunnokset lin A C'!D29)</f>
        <v>14.908851699622552</v>
      </c>
      <c r="W104" s="73">
        <f t="shared" si="31"/>
        <v>1.4908851699622552</v>
      </c>
      <c r="Y104" s="71">
        <f>(O104+'Muunnokset lin A C'!E29)</f>
        <v>51.408851699622552</v>
      </c>
      <c r="Z104" s="73">
        <f t="shared" si="32"/>
        <v>5.1408851699622549</v>
      </c>
    </row>
    <row r="105" spans="2:30" ht="18.75">
      <c r="B105" s="70">
        <v>1100</v>
      </c>
      <c r="C105" s="4">
        <v>63</v>
      </c>
      <c r="D105" s="114">
        <f t="shared" si="27"/>
        <v>120.52470540278705</v>
      </c>
      <c r="F105" s="44">
        <f>(0.1/1000)*B105</f>
        <v>0.11</v>
      </c>
      <c r="H105" s="14">
        <v>4.3</v>
      </c>
      <c r="J105" s="44">
        <v>11</v>
      </c>
      <c r="L105" s="72">
        <f t="shared" si="28"/>
        <v>60.8278537031645</v>
      </c>
      <c r="N105" s="72">
        <f>(Graafit!V56*'Tuulivoimamelu '!O105)-(Graafit!Y56*Graafit!W78)</f>
        <v>0</v>
      </c>
      <c r="O105" s="72">
        <f t="shared" si="29"/>
        <v>52.886851699622547</v>
      </c>
      <c r="P105" s="73">
        <f t="shared" si="30"/>
        <v>5.288685169962255</v>
      </c>
      <c r="U105" s="72">
        <f>(Graafit!V116*'Tuulivoimamelu '!V105)-(Graafit!Y116*Graafit!W78)</f>
        <v>0</v>
      </c>
      <c r="V105" s="71">
        <f>(O105+'Muunnokset lin A C'!D32)</f>
        <v>26.686851699622547</v>
      </c>
      <c r="W105" s="73">
        <f t="shared" si="31"/>
        <v>2.6686851699622549</v>
      </c>
      <c r="Y105" s="71">
        <f>(O105+'Muunnokset lin A C'!E32)</f>
        <v>52.086851699622549</v>
      </c>
      <c r="Z105" s="73">
        <f t="shared" si="32"/>
        <v>5.2086851699622549</v>
      </c>
    </row>
    <row r="106" spans="2:30" ht="18.75">
      <c r="B106" s="70">
        <v>1100</v>
      </c>
      <c r="C106" s="4">
        <v>125</v>
      </c>
      <c r="D106" s="114">
        <f t="shared" si="27"/>
        <v>116.02470540278705</v>
      </c>
      <c r="F106" s="44">
        <f>(0.4/1000)*B106</f>
        <v>0.44</v>
      </c>
      <c r="H106" s="14">
        <v>1.8</v>
      </c>
      <c r="J106" s="44">
        <v>11</v>
      </c>
      <c r="L106" s="72">
        <f t="shared" si="28"/>
        <v>60.8278537031645</v>
      </c>
      <c r="N106" s="72">
        <f>(Graafit!V56*'Tuulivoimamelu '!O106)-(Graafit!Y56*Graafit!W79)</f>
        <v>0</v>
      </c>
      <c r="O106" s="72">
        <f t="shared" si="29"/>
        <v>45.556851699622548</v>
      </c>
      <c r="P106" s="73">
        <f t="shared" si="30"/>
        <v>4.5556851699622545</v>
      </c>
      <c r="U106" s="72">
        <f>(Graafit!V116*'Tuulivoimamelu '!V106)-(Graafit!Y116*Graafit!W79)</f>
        <v>0</v>
      </c>
      <c r="V106" s="71">
        <f>(O106+'Muunnokset lin A C'!D35)</f>
        <v>29.356851699622549</v>
      </c>
      <c r="W106" s="73">
        <f t="shared" si="31"/>
        <v>2.9356851699622548</v>
      </c>
      <c r="Y106" s="71">
        <f>(O106+'Muunnokset lin A C'!E35)</f>
        <v>45.356851699622545</v>
      </c>
      <c r="Z106" s="73">
        <f t="shared" si="32"/>
        <v>4.5356851699622549</v>
      </c>
    </row>
    <row r="107" spans="2:30" ht="18.75">
      <c r="B107" s="70">
        <v>1100</v>
      </c>
      <c r="C107" s="4">
        <v>250</v>
      </c>
      <c r="D107" s="114">
        <f t="shared" si="27"/>
        <v>109.02470540278703</v>
      </c>
      <c r="F107" s="44">
        <f>(1/1000)*B107</f>
        <v>1.1000000000000001</v>
      </c>
      <c r="H107" s="14">
        <v>-0.5</v>
      </c>
      <c r="J107" s="44">
        <v>11</v>
      </c>
      <c r="L107" s="72">
        <f t="shared" si="28"/>
        <v>60.8278537031645</v>
      </c>
      <c r="N107" s="72">
        <f>(Graafit!V56*'Tuulivoimamelu '!O107)-(Graafit!Y56*Graafit!W80)</f>
        <v>0</v>
      </c>
      <c r="O107" s="72">
        <f t="shared" si="29"/>
        <v>35.59685169962254</v>
      </c>
      <c r="P107" s="73">
        <f t="shared" si="30"/>
        <v>3.559685169962254</v>
      </c>
      <c r="U107" s="72">
        <f>(Graafit!V116*'Tuulivoimamelu '!V107)-(Graafit!Y116*Graafit!W80)</f>
        <v>0</v>
      </c>
      <c r="V107" s="71">
        <f>(O107+'Muunnokset lin A C'!D38)</f>
        <v>26.996851699622539</v>
      </c>
      <c r="W107" s="73">
        <f t="shared" si="31"/>
        <v>2.6996851699622537</v>
      </c>
      <c r="Y107" s="71">
        <f>(O107+'Muunnokset lin A C'!E38)</f>
        <v>35.59685169962254</v>
      </c>
      <c r="Z107" s="73">
        <f t="shared" si="32"/>
        <v>3.559685169962254</v>
      </c>
    </row>
    <row r="108" spans="2:30" ht="18.75">
      <c r="B108" s="70">
        <v>1100</v>
      </c>
      <c r="C108" s="4">
        <v>500</v>
      </c>
      <c r="D108" s="114">
        <f t="shared" si="27"/>
        <v>106.12470540278704</v>
      </c>
      <c r="F108" s="44">
        <f>(1.9/1000)*B108</f>
        <v>2.09</v>
      </c>
      <c r="H108" s="14">
        <v>-3</v>
      </c>
      <c r="J108" s="44">
        <v>11</v>
      </c>
      <c r="L108" s="72">
        <f t="shared" si="28"/>
        <v>60.8278537031645</v>
      </c>
      <c r="N108" s="72">
        <f>(Graafit!V56*'Tuulivoimamelu '!O108)</f>
        <v>0</v>
      </c>
      <c r="O108" s="72">
        <f t="shared" si="29"/>
        <v>29.20685169962254</v>
      </c>
      <c r="P108" s="73">
        <f t="shared" si="30"/>
        <v>2.9206851699622538</v>
      </c>
      <c r="U108" s="72">
        <f>(Graafit!V116*'Tuulivoimamelu '!V108)</f>
        <v>0</v>
      </c>
      <c r="V108" s="71">
        <f>(O108+'Muunnokset lin A C'!D39)</f>
        <v>26.006851699622541</v>
      </c>
      <c r="W108" s="73">
        <f t="shared" si="31"/>
        <v>2.600685169962254</v>
      </c>
      <c r="Y108" s="71">
        <f>(O108+'Muunnokset lin A C'!E39)</f>
        <v>29.20685169962254</v>
      </c>
      <c r="Z108" s="73">
        <f t="shared" si="32"/>
        <v>2.9206851699622538</v>
      </c>
    </row>
    <row r="109" spans="2:30" ht="18.75">
      <c r="B109" s="70">
        <v>1100</v>
      </c>
      <c r="C109" s="4">
        <v>1000</v>
      </c>
      <c r="D109" s="114">
        <f t="shared" si="27"/>
        <v>105.72470540278704</v>
      </c>
      <c r="F109" s="44">
        <f>(3.7/1000)*B109</f>
        <v>4.07</v>
      </c>
      <c r="H109" s="14">
        <v>-1</v>
      </c>
      <c r="J109" s="44">
        <v>11</v>
      </c>
      <c r="L109" s="72">
        <f t="shared" si="28"/>
        <v>60.8278537031645</v>
      </c>
      <c r="N109" s="72">
        <f>(Graafit!V56*'Tuulivoimamelu '!O109)</f>
        <v>0</v>
      </c>
      <c r="O109" s="72">
        <f t="shared" si="29"/>
        <v>28.826851699622544</v>
      </c>
      <c r="P109" s="73">
        <f t="shared" si="30"/>
        <v>2.8826851699622544</v>
      </c>
      <c r="U109" s="72">
        <f>(Graafit!V116*'Tuulivoimamelu '!V109)</f>
        <v>0</v>
      </c>
      <c r="V109" s="71">
        <f>(O109+'Muunnokset lin A C'!D40)</f>
        <v>28.826851699622544</v>
      </c>
      <c r="W109" s="73">
        <f t="shared" si="31"/>
        <v>2.8826851699622544</v>
      </c>
      <c r="Y109" s="71">
        <f>(O109+'Muunnokset lin A C'!E40)</f>
        <v>28.826851699622544</v>
      </c>
      <c r="Z109" s="73">
        <f t="shared" si="32"/>
        <v>2.8826851699622544</v>
      </c>
    </row>
    <row r="110" spans="2:30" ht="18.75">
      <c r="B110" s="70">
        <v>1100</v>
      </c>
      <c r="C110" s="4">
        <v>2000</v>
      </c>
      <c r="D110" s="114">
        <f t="shared" si="27"/>
        <v>102.42470540278704</v>
      </c>
      <c r="F110" s="44">
        <f>(9.7/1000)*B110</f>
        <v>10.669999999999998</v>
      </c>
      <c r="H110" s="14">
        <v>0</v>
      </c>
      <c r="J110" s="44">
        <v>11</v>
      </c>
      <c r="L110" s="72">
        <f t="shared" si="28"/>
        <v>60.8278537031645</v>
      </c>
      <c r="N110" s="72">
        <f>(Graafit!V56*'Tuulivoimamelu '!O110)</f>
        <v>0</v>
      </c>
      <c r="O110" s="72">
        <f t="shared" si="29"/>
        <v>19.926851699622539</v>
      </c>
      <c r="P110" s="73">
        <f t="shared" si="30"/>
        <v>1.9926851699622539</v>
      </c>
      <c r="U110" s="72">
        <f>(Graafit!V116*'Tuulivoimamelu '!V110)</f>
        <v>0</v>
      </c>
      <c r="V110" s="71">
        <f>(O110+'Muunnokset lin A C'!D41)</f>
        <v>21.126851699622538</v>
      </c>
      <c r="W110" s="73">
        <f t="shared" si="31"/>
        <v>2.112685169962254</v>
      </c>
      <c r="Y110" s="71">
        <f>(O110+'Muunnokset lin A C'!E41)</f>
        <v>19.726851699622539</v>
      </c>
      <c r="Z110" s="73">
        <f t="shared" si="32"/>
        <v>1.9726851699622538</v>
      </c>
    </row>
    <row r="111" spans="2:30" ht="18.75">
      <c r="B111" s="70">
        <v>1100</v>
      </c>
      <c r="C111" s="4">
        <v>4000</v>
      </c>
      <c r="D111" s="114">
        <f t="shared" si="27"/>
        <v>97.724705402787038</v>
      </c>
      <c r="F111" s="44">
        <f>(32.8/1000)*B111</f>
        <v>36.08</v>
      </c>
      <c r="H111" s="14">
        <v>0</v>
      </c>
      <c r="J111" s="44">
        <v>11</v>
      </c>
      <c r="L111" s="72">
        <f t="shared" si="28"/>
        <v>60.8278537031645</v>
      </c>
      <c r="N111" s="72">
        <f>(Graafit!V56*'Tuulivoimamelu '!O111)</f>
        <v>0</v>
      </c>
      <c r="O111" s="72">
        <f t="shared" si="29"/>
        <v>-10.183148300377461</v>
      </c>
      <c r="P111" s="73">
        <f t="shared" si="30"/>
        <v>-1.018314830037746</v>
      </c>
      <c r="U111" s="72">
        <f>(Graafit!V116*'Tuulivoimamelu '!V111)</f>
        <v>0</v>
      </c>
      <c r="V111" s="71">
        <f>(O111+'Muunnokset lin A C'!D42)</f>
        <v>-9.1831483003774608</v>
      </c>
      <c r="W111" s="73">
        <f t="shared" si="31"/>
        <v>-0.91831483003774605</v>
      </c>
      <c r="Y111" s="71">
        <f>(O111+'Muunnokset lin A C'!E42)</f>
        <v>-10.983148300377461</v>
      </c>
      <c r="Z111" s="73">
        <f t="shared" si="32"/>
        <v>-1.0983148300377461</v>
      </c>
    </row>
    <row r="112" spans="2:30" ht="18.75">
      <c r="B112" s="70">
        <v>1100</v>
      </c>
      <c r="C112" s="4">
        <v>8000</v>
      </c>
      <c r="D112" s="114">
        <f t="shared" si="27"/>
        <v>92.024705402787035</v>
      </c>
      <c r="F112" s="44">
        <f>(117/1000)*B112</f>
        <v>128.70000000000002</v>
      </c>
      <c r="H112" s="14">
        <v>0</v>
      </c>
      <c r="J112" s="44">
        <v>11</v>
      </c>
      <c r="L112" s="72">
        <f t="shared" si="28"/>
        <v>60.8278537031645</v>
      </c>
      <c r="N112" s="72">
        <f>(Graafit!V56*'Tuulivoimamelu '!O112)</f>
        <v>0</v>
      </c>
      <c r="O112" s="72">
        <f t="shared" si="29"/>
        <v>-108.50314830037749</v>
      </c>
      <c r="P112" s="73">
        <f t="shared" si="30"/>
        <v>-10.85031483003775</v>
      </c>
      <c r="U112" s="72">
        <f>(Graafit!V116*'Tuulivoimamelu '!V112)</f>
        <v>0</v>
      </c>
      <c r="V112" s="71">
        <f>(O112+'Muunnokset lin A C'!D43)</f>
        <v>-109.60314830037748</v>
      </c>
      <c r="W112" s="73">
        <f t="shared" si="31"/>
        <v>-10.960314830037749</v>
      </c>
      <c r="Y112" s="71">
        <f>(O112+'Muunnokset lin A C'!E43)</f>
        <v>-111.50314830037749</v>
      </c>
      <c r="Z112" s="73">
        <f t="shared" si="32"/>
        <v>-11.150314830037749</v>
      </c>
    </row>
    <row r="113" spans="2:30">
      <c r="D113" s="71"/>
    </row>
    <row r="114" spans="2:30" ht="21">
      <c r="D114" s="71"/>
      <c r="N114" s="76">
        <f>(B102)</f>
        <v>1100</v>
      </c>
      <c r="O114" s="74">
        <f>(10*LOG(10^P102+10^P103+10^P104+10^P105+10^P106+10^P107+10^P108+10^P109+10^P110+10^P111+10^P112))</f>
        <v>63.495599591962666</v>
      </c>
      <c r="P114" s="75" t="s">
        <v>4</v>
      </c>
      <c r="R114" s="80">
        <f>(10*LOG(10^P102+10^P103+10^P104+10^P105+10^P106+10^P107))</f>
        <v>63.492307260396402</v>
      </c>
      <c r="S114" s="81" t="s">
        <v>4</v>
      </c>
      <c r="T114" s="17"/>
      <c r="U114" s="18"/>
      <c r="V114" s="74">
        <f>(10*LOG(10^W102+10^W103+10^W104+10^W105+10^W106+10^W107+10^W108+10^W109+10^W110+10^W111+10^W112))</f>
        <v>35.022266143828126</v>
      </c>
      <c r="W114" s="75" t="s">
        <v>2</v>
      </c>
      <c r="Y114" s="74">
        <f>(10*LOG(10^Z102+10^Z103+10^Z104+10^Z105+10^Z106+10^Z107+10^Z108+10^Z109+10^Z110+10^Z111+10^Z112))</f>
        <v>59.072547352654453</v>
      </c>
      <c r="Z114" s="75" t="s">
        <v>3</v>
      </c>
      <c r="AB114" s="1" t="s">
        <v>39</v>
      </c>
      <c r="AD114" s="83">
        <f>(Y114-V114)</f>
        <v>24.050281208826327</v>
      </c>
    </row>
    <row r="115" spans="2:30">
      <c r="D115" s="71"/>
      <c r="R115" s="20" t="s">
        <v>38</v>
      </c>
      <c r="S115" s="21"/>
      <c r="T115" s="21"/>
      <c r="U115" s="22"/>
    </row>
    <row r="116" spans="2:30">
      <c r="D116" s="71"/>
      <c r="N116" t="s">
        <v>70</v>
      </c>
      <c r="U116" t="s">
        <v>70</v>
      </c>
    </row>
    <row r="117" spans="2:30" ht="18.75">
      <c r="B117" s="70">
        <v>1300</v>
      </c>
      <c r="C117" s="58">
        <v>20</v>
      </c>
      <c r="D117" s="114">
        <f>(D39)</f>
        <v>127.32470540278703</v>
      </c>
      <c r="F117" s="44">
        <f>(0.01/1000)*B117</f>
        <v>1.3000000000000001E-2</v>
      </c>
      <c r="H117" s="14">
        <v>5.6</v>
      </c>
      <c r="J117" s="44">
        <v>11</v>
      </c>
      <c r="L117" s="72">
        <f>(20*LOG(B117))</f>
        <v>62.278867046136739</v>
      </c>
      <c r="N117" s="72">
        <f>(Graafit!V57*'Tuulivoimamelu '!O117)-(Graafit!Y57*Graafit!W75)</f>
        <v>0</v>
      </c>
      <c r="O117" s="72">
        <f t="shared" ref="O117" si="33">(D117-F117+H117-J117-L117)</f>
        <v>59.632838356650282</v>
      </c>
      <c r="P117" s="73">
        <f>(O117/10)</f>
        <v>5.9632838356650284</v>
      </c>
      <c r="U117" s="72">
        <f>(Graafit!V117*'Tuulivoimamelu '!V117)-(Graafit!Y117*Graafit!W75)</f>
        <v>0</v>
      </c>
      <c r="V117" s="82">
        <f>(O117+'Muunnokset lin A C'!D27)</f>
        <v>9.2328383566502836</v>
      </c>
      <c r="W117" s="73">
        <f>(V117/10)</f>
        <v>0.92328383566502836</v>
      </c>
      <c r="Y117" s="71">
        <f>(O117+'Muunnokset lin A C'!E27)</f>
        <v>53.432838356650279</v>
      </c>
      <c r="Z117" s="73">
        <f>(Y117/10)</f>
        <v>5.3432838356650283</v>
      </c>
    </row>
    <row r="118" spans="2:30" ht="18.75">
      <c r="B118" s="70">
        <v>1300</v>
      </c>
      <c r="C118" s="4">
        <v>25</v>
      </c>
      <c r="D118" s="114">
        <f t="shared" ref="D118:D127" si="34">(D40)</f>
        <v>122.92470540278704</v>
      </c>
      <c r="F118" s="44">
        <f>(0.05/1000)*B118</f>
        <v>6.5000000000000002E-2</v>
      </c>
      <c r="H118" s="14">
        <v>5.4</v>
      </c>
      <c r="J118" s="44">
        <v>11</v>
      </c>
      <c r="L118" s="72">
        <f t="shared" ref="L118:L127" si="35">(20*LOG(B118))</f>
        <v>62.278867046136739</v>
      </c>
      <c r="N118" s="72">
        <f>(Graafit!V57*'Tuulivoimamelu '!O118)-(Graafit!Y57*Graafit!W76)</f>
        <v>0</v>
      </c>
      <c r="O118" s="72">
        <f t="shared" ref="O118:O127" si="36">(D118-F118+H118-J118-L118)</f>
        <v>54.980838356650295</v>
      </c>
      <c r="P118" s="73">
        <f t="shared" ref="P118:P127" si="37">(O118/10)</f>
        <v>5.4980838356650299</v>
      </c>
      <c r="U118" s="72">
        <f>(Graafit!V117*'Tuulivoimamelu '!V118)-(Graafit!Y117*Graafit!W76)</f>
        <v>0</v>
      </c>
      <c r="V118" s="71">
        <f>(O118+'Muunnokset lin A C'!D28)</f>
        <v>10.180838356650298</v>
      </c>
      <c r="W118" s="73">
        <f t="shared" ref="W118:W127" si="38">(V118/10)</f>
        <v>1.0180838356650299</v>
      </c>
      <c r="Y118" s="71">
        <f>(O118+'Muunnokset lin A C'!E28)</f>
        <v>50.580838356650297</v>
      </c>
      <c r="Z118" s="73">
        <f t="shared" ref="Z118:Z127" si="39">(Y118/10)</f>
        <v>5.0580838356650295</v>
      </c>
    </row>
    <row r="119" spans="2:30" ht="18.75">
      <c r="B119" s="70">
        <v>1300</v>
      </c>
      <c r="C119" s="4">
        <v>31.5</v>
      </c>
      <c r="D119" s="114">
        <f t="shared" si="34"/>
        <v>121.12470540278704</v>
      </c>
      <c r="F119" s="44">
        <f>(0.08/1000)*B119</f>
        <v>0.10400000000000001</v>
      </c>
      <c r="H119" s="14">
        <v>5.2</v>
      </c>
      <c r="J119" s="44">
        <v>11</v>
      </c>
      <c r="L119" s="72">
        <f t="shared" si="35"/>
        <v>62.278867046136739</v>
      </c>
      <c r="N119" s="72">
        <f>(Graafit!V57*'Tuulivoimamelu '!O119)-(Graafit!Y57*Graafit!W77)</f>
        <v>0</v>
      </c>
      <c r="O119" s="72">
        <f t="shared" si="36"/>
        <v>52.941838356650308</v>
      </c>
      <c r="P119" s="73">
        <f t="shared" si="37"/>
        <v>5.2941838356650308</v>
      </c>
      <c r="U119" s="72">
        <f>(Graafit!V117*'Tuulivoimamelu '!V119)-(Graafit!Y117*Graafit!W77)</f>
        <v>0</v>
      </c>
      <c r="V119" s="71">
        <f>(O119+'Muunnokset lin A C'!D29)</f>
        <v>13.441838356650308</v>
      </c>
      <c r="W119" s="73">
        <f t="shared" si="38"/>
        <v>1.3441838356650309</v>
      </c>
      <c r="Y119" s="71">
        <f>(O119+'Muunnokset lin A C'!E29)</f>
        <v>49.941838356650308</v>
      </c>
      <c r="Z119" s="73">
        <f t="shared" si="39"/>
        <v>4.994183835665031</v>
      </c>
    </row>
    <row r="120" spans="2:30" ht="18.75">
      <c r="B120" s="70">
        <v>1300</v>
      </c>
      <c r="C120" s="4">
        <v>63</v>
      </c>
      <c r="D120" s="114">
        <f t="shared" si="34"/>
        <v>120.52470540278705</v>
      </c>
      <c r="F120" s="44">
        <f>(0.1/1000)*B120</f>
        <v>0.13</v>
      </c>
      <c r="H120" s="14">
        <v>4.3</v>
      </c>
      <c r="J120" s="44">
        <v>11</v>
      </c>
      <c r="L120" s="72">
        <f t="shared" si="35"/>
        <v>62.278867046136739</v>
      </c>
      <c r="N120" s="72">
        <f>(Graafit!V57*'Tuulivoimamelu '!O120)-(Graafit!Y57*Graafit!W78)</f>
        <v>0</v>
      </c>
      <c r="O120" s="72">
        <f t="shared" si="36"/>
        <v>51.415838356650312</v>
      </c>
      <c r="P120" s="73">
        <f t="shared" si="37"/>
        <v>5.1415838356650312</v>
      </c>
      <c r="U120" s="72">
        <f>(Graafit!V117*'Tuulivoimamelu '!V120)-(Graafit!Y117*Graafit!W78)</f>
        <v>0</v>
      </c>
      <c r="V120" s="71">
        <f>(O120+'Muunnokset lin A C'!D32)</f>
        <v>25.215838356650313</v>
      </c>
      <c r="W120" s="73">
        <f t="shared" si="38"/>
        <v>2.5215838356650311</v>
      </c>
      <c r="Y120" s="71">
        <f>(O120+'Muunnokset lin A C'!E32)</f>
        <v>50.615838356650315</v>
      </c>
      <c r="Z120" s="73">
        <f t="shared" si="39"/>
        <v>5.0615838356650311</v>
      </c>
    </row>
    <row r="121" spans="2:30" ht="18.75">
      <c r="B121" s="70">
        <v>1300</v>
      </c>
      <c r="C121" s="4">
        <v>125</v>
      </c>
      <c r="D121" s="114">
        <f t="shared" si="34"/>
        <v>116.02470540278705</v>
      </c>
      <c r="F121" s="44">
        <f>(0.4/1000)*B121</f>
        <v>0.52</v>
      </c>
      <c r="H121" s="14">
        <v>1.8</v>
      </c>
      <c r="J121" s="44">
        <v>11</v>
      </c>
      <c r="L121" s="72">
        <f t="shared" si="35"/>
        <v>62.278867046136739</v>
      </c>
      <c r="N121" s="72">
        <f>(Graafit!V57*'Tuulivoimamelu '!O121)-(Graafit!Y57*Graafit!W79)</f>
        <v>0</v>
      </c>
      <c r="O121" s="72">
        <f t="shared" si="36"/>
        <v>44.025838356650311</v>
      </c>
      <c r="P121" s="73">
        <f t="shared" si="37"/>
        <v>4.4025838356650313</v>
      </c>
      <c r="U121" s="72">
        <f>(Graafit!V117*'Tuulivoimamelu '!V121)-(Graafit!Y117*Graafit!W79)</f>
        <v>0</v>
      </c>
      <c r="V121" s="71">
        <f>(O121+'Muunnokset lin A C'!D35)</f>
        <v>27.825838356650312</v>
      </c>
      <c r="W121" s="73">
        <f t="shared" si="38"/>
        <v>2.7825838356650312</v>
      </c>
      <c r="Y121" s="71">
        <f>(O121+'Muunnokset lin A C'!E35)</f>
        <v>43.825838356650308</v>
      </c>
      <c r="Z121" s="73">
        <f t="shared" si="39"/>
        <v>4.3825838356650308</v>
      </c>
    </row>
    <row r="122" spans="2:30" ht="18.75">
      <c r="B122" s="70">
        <v>1300</v>
      </c>
      <c r="C122" s="4">
        <v>250</v>
      </c>
      <c r="D122" s="114">
        <f t="shared" si="34"/>
        <v>109.02470540278703</v>
      </c>
      <c r="F122" s="44">
        <f>(1/1000)*B122</f>
        <v>1.3</v>
      </c>
      <c r="H122" s="14">
        <v>-0.5</v>
      </c>
      <c r="J122" s="44">
        <v>11</v>
      </c>
      <c r="L122" s="72">
        <f t="shared" si="35"/>
        <v>62.278867046136739</v>
      </c>
      <c r="N122" s="72">
        <f>(Graafit!V57*'Tuulivoimamelu '!O122)-(Graafit!Y57*Graafit!W80)</f>
        <v>0</v>
      </c>
      <c r="O122" s="72">
        <f t="shared" si="36"/>
        <v>33.945838356650299</v>
      </c>
      <c r="P122" s="73">
        <f t="shared" si="37"/>
        <v>3.39458383566503</v>
      </c>
      <c r="U122" s="72">
        <f>(Graafit!V117*'Tuulivoimamelu '!V122)-(Graafit!Y117*Graafit!W80)</f>
        <v>0</v>
      </c>
      <c r="V122" s="71">
        <f>(O122+'Muunnokset lin A C'!D38)</f>
        <v>25.345838356650297</v>
      </c>
      <c r="W122" s="73">
        <f t="shared" si="38"/>
        <v>2.5345838356650296</v>
      </c>
      <c r="Y122" s="71">
        <f>(O122+'Muunnokset lin A C'!E38)</f>
        <v>33.945838356650299</v>
      </c>
      <c r="Z122" s="73">
        <f t="shared" si="39"/>
        <v>3.39458383566503</v>
      </c>
    </row>
    <row r="123" spans="2:30" ht="18.75">
      <c r="B123" s="70">
        <v>1300</v>
      </c>
      <c r="C123" s="4">
        <v>500</v>
      </c>
      <c r="D123" s="114">
        <f t="shared" si="34"/>
        <v>106.12470540278704</v>
      </c>
      <c r="F123" s="44">
        <f>(1.9/1000)*B123</f>
        <v>2.4700000000000002</v>
      </c>
      <c r="H123" s="14">
        <v>-3</v>
      </c>
      <c r="J123" s="44">
        <v>11</v>
      </c>
      <c r="L123" s="72">
        <f t="shared" si="35"/>
        <v>62.278867046136739</v>
      </c>
      <c r="N123" s="72">
        <f>(Graafit!V57*'Tuulivoimamelu '!O123)</f>
        <v>0</v>
      </c>
      <c r="O123" s="72">
        <f t="shared" si="36"/>
        <v>27.375838356650306</v>
      </c>
      <c r="P123" s="73">
        <f t="shared" si="37"/>
        <v>2.7375838356650304</v>
      </c>
      <c r="U123" s="72">
        <f>(Graafit!V117*'Tuulivoimamelu '!V123)</f>
        <v>0</v>
      </c>
      <c r="V123" s="71">
        <f>(O123+'Muunnokset lin A C'!D39)</f>
        <v>24.175838356650306</v>
      </c>
      <c r="W123" s="73">
        <f t="shared" si="38"/>
        <v>2.4175838356650305</v>
      </c>
      <c r="Y123" s="71">
        <f>(O123+'Muunnokset lin A C'!E39)</f>
        <v>27.375838356650306</v>
      </c>
      <c r="Z123" s="73">
        <f t="shared" si="39"/>
        <v>2.7375838356650304</v>
      </c>
    </row>
    <row r="124" spans="2:30" ht="18.75">
      <c r="B124" s="70">
        <v>1300</v>
      </c>
      <c r="C124" s="4">
        <v>1000</v>
      </c>
      <c r="D124" s="114">
        <f t="shared" si="34"/>
        <v>105.72470540278704</v>
      </c>
      <c r="F124" s="44">
        <f>(3.7/1000)*B124</f>
        <v>4.8100000000000005</v>
      </c>
      <c r="H124" s="14">
        <v>-1</v>
      </c>
      <c r="J124" s="44">
        <v>11</v>
      </c>
      <c r="L124" s="72">
        <f t="shared" si="35"/>
        <v>62.278867046136739</v>
      </c>
      <c r="N124" s="72">
        <f>(Graafit!V57*'Tuulivoimamelu '!O124)</f>
        <v>0</v>
      </c>
      <c r="O124" s="72">
        <f t="shared" si="36"/>
        <v>26.635838356650297</v>
      </c>
      <c r="P124" s="73">
        <f t="shared" si="37"/>
        <v>2.6635838356650297</v>
      </c>
      <c r="U124" s="72">
        <f>(Graafit!V117*'Tuulivoimamelu '!V124)</f>
        <v>0</v>
      </c>
      <c r="V124" s="71">
        <f>(O124+'Muunnokset lin A C'!D40)</f>
        <v>26.635838356650297</v>
      </c>
      <c r="W124" s="73">
        <f t="shared" si="38"/>
        <v>2.6635838356650297</v>
      </c>
      <c r="Y124" s="71">
        <f>(O124+'Muunnokset lin A C'!E40)</f>
        <v>26.635838356650297</v>
      </c>
      <c r="Z124" s="73">
        <f t="shared" si="39"/>
        <v>2.6635838356650297</v>
      </c>
    </row>
    <row r="125" spans="2:30" ht="18.75">
      <c r="B125" s="70">
        <v>1300</v>
      </c>
      <c r="C125" s="4">
        <v>2000</v>
      </c>
      <c r="D125" s="114">
        <f t="shared" si="34"/>
        <v>102.42470540278704</v>
      </c>
      <c r="F125" s="44">
        <f>(9.7/1000)*B125</f>
        <v>12.609999999999998</v>
      </c>
      <c r="H125" s="14">
        <v>0</v>
      </c>
      <c r="J125" s="44">
        <v>11</v>
      </c>
      <c r="L125" s="72">
        <f t="shared" si="35"/>
        <v>62.278867046136739</v>
      </c>
      <c r="N125" s="72">
        <f>(Graafit!V57*'Tuulivoimamelu '!O125)</f>
        <v>0</v>
      </c>
      <c r="O125" s="72">
        <f t="shared" si="36"/>
        <v>16.535838356650302</v>
      </c>
      <c r="P125" s="73">
        <f t="shared" si="37"/>
        <v>1.6535838356650303</v>
      </c>
      <c r="U125" s="72">
        <f>(Graafit!V117*'Tuulivoimamelu '!V125)</f>
        <v>0</v>
      </c>
      <c r="V125" s="71">
        <f>(O125+'Muunnokset lin A C'!D41)</f>
        <v>17.735838356650302</v>
      </c>
      <c r="W125" s="73">
        <f t="shared" si="38"/>
        <v>1.7735838356650302</v>
      </c>
      <c r="Y125" s="71">
        <f>(O125+'Muunnokset lin A C'!E41)</f>
        <v>16.335838356650303</v>
      </c>
      <c r="Z125" s="73">
        <f t="shared" si="39"/>
        <v>1.6335838356650303</v>
      </c>
    </row>
    <row r="126" spans="2:30" ht="18.75">
      <c r="B126" s="70">
        <v>1300</v>
      </c>
      <c r="C126" s="4">
        <v>4000</v>
      </c>
      <c r="D126" s="114">
        <f t="shared" si="34"/>
        <v>97.724705402787038</v>
      </c>
      <c r="F126" s="44">
        <f>(32.8/1000)*B126</f>
        <v>42.639999999999993</v>
      </c>
      <c r="H126" s="14">
        <v>0</v>
      </c>
      <c r="J126" s="44">
        <v>11</v>
      </c>
      <c r="L126" s="72">
        <f t="shared" si="35"/>
        <v>62.278867046136739</v>
      </c>
      <c r="N126" s="72">
        <f>(Graafit!V57*'Tuulivoimamelu '!O126)</f>
        <v>0</v>
      </c>
      <c r="O126" s="72">
        <f t="shared" si="36"/>
        <v>-18.194161643349695</v>
      </c>
      <c r="P126" s="73">
        <f t="shared" si="37"/>
        <v>-1.8194161643349696</v>
      </c>
      <c r="U126" s="72">
        <f>(Graafit!V117*'Tuulivoimamelu '!V126)</f>
        <v>0</v>
      </c>
      <c r="V126" s="71">
        <f>(O126+'Muunnokset lin A C'!D42)</f>
        <v>-17.194161643349695</v>
      </c>
      <c r="W126" s="73">
        <f t="shared" si="38"/>
        <v>-1.7194161643349695</v>
      </c>
      <c r="Y126" s="71">
        <f>(O126+'Muunnokset lin A C'!E42)</f>
        <v>-18.994161643349695</v>
      </c>
      <c r="Z126" s="73">
        <f t="shared" si="39"/>
        <v>-1.8994161643349696</v>
      </c>
    </row>
    <row r="127" spans="2:30" ht="18.75">
      <c r="B127" s="70">
        <v>1300</v>
      </c>
      <c r="C127" s="4">
        <v>8000</v>
      </c>
      <c r="D127" s="114">
        <f t="shared" si="34"/>
        <v>92.024705402787035</v>
      </c>
      <c r="F127" s="44">
        <f>(117/1000)*B127</f>
        <v>152.10000000000002</v>
      </c>
      <c r="H127" s="14">
        <v>0</v>
      </c>
      <c r="J127" s="44">
        <v>11</v>
      </c>
      <c r="L127" s="72">
        <f t="shared" si="35"/>
        <v>62.278867046136739</v>
      </c>
      <c r="N127" s="72">
        <f>(Graafit!V57*'Tuulivoimamelu '!O127)</f>
        <v>0</v>
      </c>
      <c r="O127" s="72">
        <f t="shared" si="36"/>
        <v>-133.35416164334973</v>
      </c>
      <c r="P127" s="73">
        <f t="shared" si="37"/>
        <v>-13.335416164334973</v>
      </c>
      <c r="U127" s="72">
        <f>(Graafit!V117*'Tuulivoimamelu '!V127)</f>
        <v>0</v>
      </c>
      <c r="V127" s="71">
        <f>(O127+'Muunnokset lin A C'!D43)</f>
        <v>-134.45416164334972</v>
      </c>
      <c r="W127" s="73">
        <f t="shared" si="38"/>
        <v>-13.445416164334972</v>
      </c>
      <c r="Y127" s="71">
        <f>(O127+'Muunnokset lin A C'!E43)</f>
        <v>-136.35416164334973</v>
      </c>
      <c r="Z127" s="73">
        <f t="shared" si="39"/>
        <v>-13.635416164334973</v>
      </c>
    </row>
    <row r="128" spans="2:30">
      <c r="D128" s="71"/>
    </row>
    <row r="129" spans="2:30" ht="21">
      <c r="D129" s="71"/>
      <c r="N129" s="76">
        <f>(B117)</f>
        <v>1300</v>
      </c>
      <c r="O129" s="74">
        <f>(10*LOG(10^P117+10^P118+10^P119+10^P120+10^P121+10^P122+10^P123+10^P124+10^P125+10^P126+10^P127))</f>
        <v>62.035727561651022</v>
      </c>
      <c r="P129" s="75" t="s">
        <v>4</v>
      </c>
      <c r="R129" s="80">
        <f>(10*LOG(10^P117+10^P118+10^P119+10^P120+10^P121+10^P122))</f>
        <v>62.03286638758523</v>
      </c>
      <c r="S129" s="81" t="s">
        <v>4</v>
      </c>
      <c r="T129" s="17"/>
      <c r="U129" s="18"/>
      <c r="V129" s="74">
        <f>(10*LOG(10^W117+10^W118+10^W119+10^W120+10^W121+10^W122+10^W123+10^W124+10^W125+10^W126+10^W127))</f>
        <v>33.229767062858066</v>
      </c>
      <c r="W129" s="75" t="s">
        <v>2</v>
      </c>
      <c r="Y129" s="74">
        <f>(10*LOG(10^Z117+10^Z118+10^Z119+10^Z120+10^Z121+10^Z122+10^Z123+10^Z124+10^Z125+10^Z126+10^Z127))</f>
        <v>57.606589731968711</v>
      </c>
      <c r="Z129" s="75" t="s">
        <v>3</v>
      </c>
      <c r="AB129" s="1" t="s">
        <v>39</v>
      </c>
      <c r="AD129" s="83">
        <f>(Y129-V129)</f>
        <v>24.376822669110645</v>
      </c>
    </row>
    <row r="130" spans="2:30">
      <c r="D130" s="71"/>
      <c r="R130" s="20" t="s">
        <v>38</v>
      </c>
      <c r="S130" s="21"/>
      <c r="T130" s="21"/>
      <c r="U130" s="22"/>
    </row>
    <row r="131" spans="2:30">
      <c r="D131" s="71"/>
    </row>
    <row r="132" spans="2:30">
      <c r="D132" s="71"/>
      <c r="N132" t="s">
        <v>70</v>
      </c>
      <c r="U132" t="s">
        <v>70</v>
      </c>
    </row>
    <row r="133" spans="2:30" ht="18.75">
      <c r="B133" s="70">
        <v>1500</v>
      </c>
      <c r="C133" s="58">
        <v>20</v>
      </c>
      <c r="D133" s="114">
        <f>(D39)</f>
        <v>127.32470540278703</v>
      </c>
      <c r="F133" s="44">
        <f>(0.01/1000)*B133</f>
        <v>1.5000000000000001E-2</v>
      </c>
      <c r="H133" s="14">
        <v>5.6</v>
      </c>
      <c r="J133" s="44">
        <v>11</v>
      </c>
      <c r="L133" s="72">
        <f>(20*LOG(B133))</f>
        <v>63.521825181113627</v>
      </c>
      <c r="N133" s="72">
        <f>(Graafit!V58*'Tuulivoimamelu '!O133)-(Graafit!Y58*Graafit!W75)</f>
        <v>0</v>
      </c>
      <c r="O133" s="72">
        <f t="shared" ref="O133" si="40">(D133-F133+H133-J133-L133)</f>
        <v>58.387880221673413</v>
      </c>
      <c r="P133" s="73">
        <f>(O133/10)</f>
        <v>5.8387880221673409</v>
      </c>
      <c r="U133" s="72">
        <f>(Graafit!V118*'Tuulivoimamelu '!V133)-(Graafit!Y118*Graafit!W75)</f>
        <v>0</v>
      </c>
      <c r="V133" s="82">
        <f>(O133+'Muunnokset lin A C'!D27)</f>
        <v>7.9878802216734144</v>
      </c>
      <c r="W133" s="73">
        <f>(V133/10)</f>
        <v>0.79878802216734146</v>
      </c>
      <c r="Y133" s="71">
        <f>(O133+'Muunnokset lin A C'!E27)</f>
        <v>52.18788022167341</v>
      </c>
      <c r="Z133" s="73">
        <f>(Y133/10)</f>
        <v>5.2187880221673408</v>
      </c>
    </row>
    <row r="134" spans="2:30" ht="18.75">
      <c r="B134" s="70">
        <v>1500</v>
      </c>
      <c r="C134" s="4">
        <v>25</v>
      </c>
      <c r="D134" s="114">
        <f t="shared" ref="D134:D143" si="41">(D40)</f>
        <v>122.92470540278704</v>
      </c>
      <c r="F134" s="44">
        <f>(0.05/1000)*B134</f>
        <v>7.4999999999999997E-2</v>
      </c>
      <c r="H134" s="14">
        <v>5.4</v>
      </c>
      <c r="J134" s="44">
        <v>11</v>
      </c>
      <c r="L134" s="72">
        <f t="shared" ref="L134:L143" si="42">(20*LOG(B134))</f>
        <v>63.521825181113627</v>
      </c>
      <c r="N134" s="72">
        <f>(Graafit!V58*'Tuulivoimamelu '!O134)-(Graafit!Y58*Graafit!W76)</f>
        <v>0</v>
      </c>
      <c r="O134" s="72">
        <f t="shared" ref="O134:O143" si="43">(D134-F134+H134-J134-L134)</f>
        <v>53.727880221673416</v>
      </c>
      <c r="P134" s="73">
        <f t="shared" ref="P134:P143" si="44">(O134/10)</f>
        <v>5.3727880221673416</v>
      </c>
      <c r="U134" s="72">
        <f>(Graafit!V118*'Tuulivoimamelu '!V134)-(Graafit!Y118*Graafit!W76)</f>
        <v>0</v>
      </c>
      <c r="V134" s="71">
        <f>(O134+'Muunnokset lin A C'!D28)</f>
        <v>8.9278802216734192</v>
      </c>
      <c r="W134" s="73">
        <f t="shared" ref="W134:W143" si="45">(V134/10)</f>
        <v>0.89278802216734188</v>
      </c>
      <c r="Y134" s="71">
        <f>(O134+'Muunnokset lin A C'!E28)</f>
        <v>49.327880221673418</v>
      </c>
      <c r="Z134" s="73">
        <f t="shared" ref="Z134:Z143" si="46">(Y134/10)</f>
        <v>4.9327880221673421</v>
      </c>
    </row>
    <row r="135" spans="2:30" ht="18.75">
      <c r="B135" s="70">
        <v>1500</v>
      </c>
      <c r="C135" s="4">
        <v>31.5</v>
      </c>
      <c r="D135" s="114">
        <f t="shared" si="41"/>
        <v>121.12470540278704</v>
      </c>
      <c r="F135" s="44">
        <f>(0.08/1000)*B135</f>
        <v>0.12000000000000001</v>
      </c>
      <c r="H135" s="14">
        <v>5.2</v>
      </c>
      <c r="J135" s="44">
        <v>11</v>
      </c>
      <c r="L135" s="72">
        <f t="shared" si="42"/>
        <v>63.521825181113627</v>
      </c>
      <c r="N135" s="72">
        <f>(Graafit!V58*'Tuulivoimamelu '!O135)-(Graafit!Y58*Graafit!W77)</f>
        <v>0</v>
      </c>
      <c r="O135" s="72">
        <f t="shared" si="43"/>
        <v>51.682880221673415</v>
      </c>
      <c r="P135" s="73">
        <f t="shared" si="44"/>
        <v>5.1682880221673413</v>
      </c>
      <c r="U135" s="72">
        <f>(Graafit!V118*'Tuulivoimamelu '!V135)-(Graafit!Y118*Graafit!W77)</f>
        <v>0</v>
      </c>
      <c r="V135" s="71">
        <f>(O135+'Muunnokset lin A C'!D29)</f>
        <v>12.182880221673415</v>
      </c>
      <c r="W135" s="73">
        <f t="shared" si="45"/>
        <v>1.2182880221673416</v>
      </c>
      <c r="Y135" s="71">
        <f>(O135+'Muunnokset lin A C'!E29)</f>
        <v>48.682880221673415</v>
      </c>
      <c r="Z135" s="73">
        <f t="shared" si="46"/>
        <v>4.8682880221673415</v>
      </c>
    </row>
    <row r="136" spans="2:30" ht="18.75">
      <c r="B136" s="70">
        <v>1500</v>
      </c>
      <c r="C136" s="4">
        <v>63</v>
      </c>
      <c r="D136" s="114">
        <f t="shared" si="41"/>
        <v>120.52470540278705</v>
      </c>
      <c r="F136" s="44">
        <f>(0.1/1000)*B136</f>
        <v>0.15</v>
      </c>
      <c r="H136" s="14">
        <v>4.3</v>
      </c>
      <c r="J136" s="44">
        <v>11</v>
      </c>
      <c r="L136" s="72">
        <f t="shared" si="42"/>
        <v>63.521825181113627</v>
      </c>
      <c r="N136" s="72">
        <f>(Graafit!V58*'Tuulivoimamelu '!O136)-(Graafit!Y58*Graafit!W78)</f>
        <v>0</v>
      </c>
      <c r="O136" s="72">
        <f t="shared" si="43"/>
        <v>50.152880221673414</v>
      </c>
      <c r="P136" s="73">
        <f t="shared" si="44"/>
        <v>5.0152880221673417</v>
      </c>
      <c r="U136" s="72">
        <f>(Graafit!V118*'Tuulivoimamelu '!V136)-(Graafit!Y118*Graafit!W78)</f>
        <v>0</v>
      </c>
      <c r="V136" s="71">
        <f>(O136+'Muunnokset lin A C'!D32)</f>
        <v>23.952880221673414</v>
      </c>
      <c r="W136" s="73">
        <f t="shared" si="45"/>
        <v>2.3952880221673416</v>
      </c>
      <c r="Y136" s="71">
        <f>(O136+'Muunnokset lin A C'!E32)</f>
        <v>49.352880221673416</v>
      </c>
      <c r="Z136" s="73">
        <f t="shared" si="46"/>
        <v>4.9352880221673416</v>
      </c>
    </row>
    <row r="137" spans="2:30" ht="18.75">
      <c r="B137" s="70">
        <v>1500</v>
      </c>
      <c r="C137" s="4">
        <v>125</v>
      </c>
      <c r="D137" s="114">
        <f t="shared" si="41"/>
        <v>116.02470540278705</v>
      </c>
      <c r="F137" s="44">
        <f>(0.4/1000)*B137</f>
        <v>0.6</v>
      </c>
      <c r="H137" s="14">
        <v>1.8</v>
      </c>
      <c r="J137" s="44">
        <v>11</v>
      </c>
      <c r="L137" s="72">
        <f t="shared" si="42"/>
        <v>63.521825181113627</v>
      </c>
      <c r="N137" s="72">
        <f>(Graafit!V58*'Tuulivoimamelu '!O137)-(Graafit!Y58*Graafit!W79)</f>
        <v>0</v>
      </c>
      <c r="O137" s="72">
        <f t="shared" si="43"/>
        <v>42.702880221673425</v>
      </c>
      <c r="P137" s="73">
        <f t="shared" si="44"/>
        <v>4.2702880221673425</v>
      </c>
      <c r="U137" s="72">
        <f>(Graafit!V118*'Tuulivoimamelu '!V137)-(Graafit!Y118*Graafit!W79)</f>
        <v>0</v>
      </c>
      <c r="V137" s="71">
        <f>(O137+'Muunnokset lin A C'!D35)</f>
        <v>26.502880221673426</v>
      </c>
      <c r="W137" s="73">
        <f t="shared" si="45"/>
        <v>2.6502880221673424</v>
      </c>
      <c r="Y137" s="71">
        <f>(O137+'Muunnokset lin A C'!E35)</f>
        <v>42.502880221673422</v>
      </c>
      <c r="Z137" s="73">
        <f t="shared" si="46"/>
        <v>4.250288022167342</v>
      </c>
    </row>
    <row r="138" spans="2:30" ht="18.75">
      <c r="B138" s="70">
        <v>1500</v>
      </c>
      <c r="C138" s="4">
        <v>250</v>
      </c>
      <c r="D138" s="114">
        <f t="shared" si="41"/>
        <v>109.02470540278703</v>
      </c>
      <c r="F138" s="44">
        <f>(1/1000)*B138</f>
        <v>1.5</v>
      </c>
      <c r="H138" s="14">
        <v>-0.5</v>
      </c>
      <c r="J138" s="44">
        <v>11</v>
      </c>
      <c r="L138" s="72">
        <f t="shared" si="42"/>
        <v>63.521825181113627</v>
      </c>
      <c r="N138" s="72">
        <f>(Graafit!V58*'Tuulivoimamelu '!O138)-(Graafit!Y58*Graafit!W80)</f>
        <v>0</v>
      </c>
      <c r="O138" s="72">
        <f t="shared" si="43"/>
        <v>32.502880221673408</v>
      </c>
      <c r="P138" s="73">
        <f t="shared" si="44"/>
        <v>3.2502880221673407</v>
      </c>
      <c r="U138" s="72">
        <f>(Graafit!V118*'Tuulivoimamelu '!V138)-(Graafit!Y118*Graafit!W80)</f>
        <v>0</v>
      </c>
      <c r="V138" s="71">
        <f>(O138+'Muunnokset lin A C'!D38)</f>
        <v>23.902880221673406</v>
      </c>
      <c r="W138" s="73">
        <f t="shared" si="45"/>
        <v>2.3902880221673408</v>
      </c>
      <c r="Y138" s="71">
        <f>(O138+'Muunnokset lin A C'!E38)</f>
        <v>32.502880221673408</v>
      </c>
      <c r="Z138" s="73">
        <f t="shared" si="46"/>
        <v>3.2502880221673407</v>
      </c>
    </row>
    <row r="139" spans="2:30" ht="18.75">
      <c r="B139" s="70">
        <v>1500</v>
      </c>
      <c r="C139" s="4">
        <v>500</v>
      </c>
      <c r="D139" s="114">
        <f t="shared" si="41"/>
        <v>106.12470540278704</v>
      </c>
      <c r="F139" s="44">
        <f>(1.9/1000)*B139</f>
        <v>2.85</v>
      </c>
      <c r="H139" s="14">
        <v>-3</v>
      </c>
      <c r="J139" s="44">
        <v>11</v>
      </c>
      <c r="L139" s="72">
        <f t="shared" si="42"/>
        <v>63.521825181113627</v>
      </c>
      <c r="N139" s="72">
        <f>(Graafit!V58*'Tuulivoimamelu '!O139)</f>
        <v>0</v>
      </c>
      <c r="O139" s="72">
        <f t="shared" si="43"/>
        <v>25.752880221673422</v>
      </c>
      <c r="P139" s="73">
        <f t="shared" si="44"/>
        <v>2.5752880221673422</v>
      </c>
      <c r="U139" s="72">
        <f>(Graafit!V118*'Tuulivoimamelu '!V139)</f>
        <v>0</v>
      </c>
      <c r="V139" s="71">
        <f>(O139+'Muunnokset lin A C'!D39)</f>
        <v>22.552880221673423</v>
      </c>
      <c r="W139" s="73">
        <f t="shared" si="45"/>
        <v>2.2552880221673424</v>
      </c>
      <c r="Y139" s="71">
        <f>(O139+'Muunnokset lin A C'!E39)</f>
        <v>25.752880221673422</v>
      </c>
      <c r="Z139" s="73">
        <f t="shared" si="46"/>
        <v>2.5752880221673422</v>
      </c>
    </row>
    <row r="140" spans="2:30" ht="18.75">
      <c r="B140" s="70">
        <v>1500</v>
      </c>
      <c r="C140" s="4">
        <v>1000</v>
      </c>
      <c r="D140" s="114">
        <f t="shared" si="41"/>
        <v>105.72470540278704</v>
      </c>
      <c r="F140" s="44">
        <f>(3.7/1000)*B140</f>
        <v>5.55</v>
      </c>
      <c r="H140" s="14">
        <v>-1</v>
      </c>
      <c r="J140" s="44">
        <v>11</v>
      </c>
      <c r="L140" s="72">
        <f t="shared" si="42"/>
        <v>63.521825181113627</v>
      </c>
      <c r="N140" s="72">
        <f>(Graafit!V58*'Tuulivoimamelu '!O140)</f>
        <v>0</v>
      </c>
      <c r="O140" s="72">
        <f t="shared" si="43"/>
        <v>24.652880221673414</v>
      </c>
      <c r="P140" s="73">
        <f t="shared" si="44"/>
        <v>2.4652880221673414</v>
      </c>
      <c r="U140" s="72">
        <f>(Graafit!V118*'Tuulivoimamelu '!V140)</f>
        <v>0</v>
      </c>
      <c r="V140" s="71">
        <f>(O140+'Muunnokset lin A C'!D40)</f>
        <v>24.652880221673414</v>
      </c>
      <c r="W140" s="73">
        <f t="shared" si="45"/>
        <v>2.4652880221673414</v>
      </c>
      <c r="Y140" s="71">
        <f>(O140+'Muunnokset lin A C'!E40)</f>
        <v>24.652880221673414</v>
      </c>
      <c r="Z140" s="73">
        <f t="shared" si="46"/>
        <v>2.4652880221673414</v>
      </c>
    </row>
    <row r="141" spans="2:30" ht="18.75">
      <c r="B141" s="70">
        <v>1500</v>
      </c>
      <c r="C141" s="4">
        <v>2000</v>
      </c>
      <c r="D141" s="114">
        <f t="shared" si="41"/>
        <v>102.42470540278704</v>
      </c>
      <c r="F141" s="44">
        <f>(9.7/1000)*B141</f>
        <v>14.549999999999997</v>
      </c>
      <c r="H141" s="14">
        <v>0</v>
      </c>
      <c r="J141" s="44">
        <v>11</v>
      </c>
      <c r="L141" s="72">
        <f t="shared" si="42"/>
        <v>63.521825181113627</v>
      </c>
      <c r="N141" s="72">
        <f>(Graafit!V58*'Tuulivoimamelu '!O141)</f>
        <v>0</v>
      </c>
      <c r="O141" s="72">
        <f t="shared" si="43"/>
        <v>13.352880221673416</v>
      </c>
      <c r="P141" s="73">
        <f t="shared" si="44"/>
        <v>1.3352880221673415</v>
      </c>
      <c r="U141" s="72">
        <f>(Graafit!V118*'Tuulivoimamelu '!V141)</f>
        <v>0</v>
      </c>
      <c r="V141" s="71">
        <f>(O141+'Muunnokset lin A C'!D41)</f>
        <v>14.552880221673416</v>
      </c>
      <c r="W141" s="73">
        <f t="shared" si="45"/>
        <v>1.4552880221673417</v>
      </c>
      <c r="Y141" s="71">
        <f>(O141+'Muunnokset lin A C'!E41)</f>
        <v>13.152880221673417</v>
      </c>
      <c r="Z141" s="73">
        <f t="shared" si="46"/>
        <v>1.3152880221673418</v>
      </c>
    </row>
    <row r="142" spans="2:30" ht="18.75">
      <c r="B142" s="70">
        <v>1500</v>
      </c>
      <c r="C142" s="4">
        <v>4000</v>
      </c>
      <c r="D142" s="114">
        <f t="shared" si="41"/>
        <v>97.724705402787038</v>
      </c>
      <c r="F142" s="44">
        <f>(32.8/1000)*B142</f>
        <v>49.199999999999996</v>
      </c>
      <c r="H142" s="14">
        <v>0</v>
      </c>
      <c r="J142" s="44">
        <v>11</v>
      </c>
      <c r="L142" s="72">
        <f t="shared" si="42"/>
        <v>63.521825181113627</v>
      </c>
      <c r="N142" s="72">
        <f>(Graafit!V58*'Tuulivoimamelu '!O142)</f>
        <v>0</v>
      </c>
      <c r="O142" s="72">
        <f t="shared" si="43"/>
        <v>-25.997119778326585</v>
      </c>
      <c r="P142" s="73">
        <f t="shared" si="44"/>
        <v>-2.5997119778326585</v>
      </c>
      <c r="U142" s="72">
        <f>(Graafit!V118*'Tuulivoimamelu '!V142)</f>
        <v>0</v>
      </c>
      <c r="V142" s="71">
        <f>(O142+'Muunnokset lin A C'!D42)</f>
        <v>-24.997119778326585</v>
      </c>
      <c r="W142" s="73">
        <f t="shared" si="45"/>
        <v>-2.4997119778326584</v>
      </c>
      <c r="Y142" s="71">
        <f>(O142+'Muunnokset lin A C'!E42)</f>
        <v>-26.797119778326586</v>
      </c>
      <c r="Z142" s="73">
        <f t="shared" si="46"/>
        <v>-2.6797119778326586</v>
      </c>
    </row>
    <row r="143" spans="2:30" ht="18.75">
      <c r="B143" s="70">
        <v>1500</v>
      </c>
      <c r="C143" s="4">
        <v>8000</v>
      </c>
      <c r="D143" s="114">
        <f t="shared" si="41"/>
        <v>92.024705402787035</v>
      </c>
      <c r="F143" s="44">
        <f>(117/1000)*B143</f>
        <v>175.5</v>
      </c>
      <c r="H143" s="14">
        <v>0</v>
      </c>
      <c r="J143" s="44">
        <v>11</v>
      </c>
      <c r="L143" s="72">
        <f t="shared" si="42"/>
        <v>63.521825181113627</v>
      </c>
      <c r="N143" s="72">
        <f>(Graafit!V58*'Tuulivoimamelu '!O143)</f>
        <v>0</v>
      </c>
      <c r="O143" s="72">
        <f t="shared" si="43"/>
        <v>-157.99711977832658</v>
      </c>
      <c r="P143" s="73">
        <f t="shared" si="44"/>
        <v>-15.799711977832658</v>
      </c>
      <c r="U143" s="72">
        <f>(Graafit!V118*'Tuulivoimamelu '!V143)</f>
        <v>0</v>
      </c>
      <c r="V143" s="71">
        <f>(O143+'Muunnokset lin A C'!D43)</f>
        <v>-159.09711977832657</v>
      </c>
      <c r="W143" s="73">
        <f t="shared" si="45"/>
        <v>-15.909711977832657</v>
      </c>
      <c r="Y143" s="71">
        <f>(O143+'Muunnokset lin A C'!E43)</f>
        <v>-160.99711977832658</v>
      </c>
      <c r="Z143" s="73">
        <f t="shared" si="46"/>
        <v>-16.099711977832659</v>
      </c>
    </row>
    <row r="144" spans="2:30">
      <c r="D144" s="71"/>
    </row>
    <row r="145" spans="2:30" ht="21">
      <c r="D145" s="71"/>
      <c r="N145" s="76">
        <f>(B133)</f>
        <v>1500</v>
      </c>
      <c r="O145" s="74">
        <f>(10*LOG(10^P133+10^P134+10^P135+10^P136+10^P137+10^P138+10^P139+10^P140+10^P141+10^P142+10^P143))</f>
        <v>60.784023594537089</v>
      </c>
      <c r="P145" s="75" t="s">
        <v>4</v>
      </c>
      <c r="R145" s="80">
        <f>(10*LOG(10^P133+10^P134+10^P135+10^P136+10^P137+10^P138))</f>
        <v>60.781522405748277</v>
      </c>
      <c r="S145" s="81" t="s">
        <v>4</v>
      </c>
      <c r="T145" s="17"/>
      <c r="U145" s="18"/>
      <c r="V145" s="74">
        <f>(10*LOG(10^W133+10^W134+10^W135+10^W136+10^W137+10^W138+10^W139+10^W140+10^W141+10^W142+10^W143))</f>
        <v>31.679673110430929</v>
      </c>
      <c r="W145" s="75" t="s">
        <v>2</v>
      </c>
      <c r="Y145" s="74">
        <f>(10*LOG(10^Z133+10^Z134+10^Z135+10^Z136+10^Z137+10^Z138+10^Z139+10^Z140+10^Z141+10^Z142+10^Z143))</f>
        <v>56.348970292178684</v>
      </c>
      <c r="Z145" s="75" t="s">
        <v>3</v>
      </c>
      <c r="AB145" s="1" t="s">
        <v>39</v>
      </c>
      <c r="AD145" s="83">
        <f>(Y145-V145)</f>
        <v>24.669297181747755</v>
      </c>
    </row>
    <row r="146" spans="2:30">
      <c r="D146" s="71"/>
      <c r="R146" s="20" t="s">
        <v>38</v>
      </c>
      <c r="S146" s="21"/>
      <c r="T146" s="21"/>
      <c r="U146" s="22"/>
    </row>
    <row r="147" spans="2:30">
      <c r="D147" s="71"/>
    </row>
    <row r="148" spans="2:30">
      <c r="D148" s="71"/>
      <c r="N148" t="s">
        <v>70</v>
      </c>
      <c r="U148" t="s">
        <v>70</v>
      </c>
    </row>
    <row r="149" spans="2:30" ht="18.75">
      <c r="B149" s="70">
        <v>1700</v>
      </c>
      <c r="C149" s="58">
        <v>20</v>
      </c>
      <c r="D149" s="114">
        <f>(D39)</f>
        <v>127.32470540278703</v>
      </c>
      <c r="F149" s="44">
        <f>(0.01/1000)*B149</f>
        <v>1.7000000000000001E-2</v>
      </c>
      <c r="H149" s="14">
        <v>5.6</v>
      </c>
      <c r="J149" s="44">
        <v>11</v>
      </c>
      <c r="L149" s="72">
        <f>(20*LOG(B149))</f>
        <v>64.608978427565489</v>
      </c>
      <c r="N149" s="72">
        <f>(Graafit!V59*'Tuulivoimamelu '!O149)-(Graafit!Y59*Graafit!W75)</f>
        <v>0</v>
      </c>
      <c r="O149" s="72">
        <f t="shared" ref="O149" si="47">(D149-F149+H149-J149-L149)</f>
        <v>57.298726975221541</v>
      </c>
      <c r="P149" s="73">
        <f>(O149/10)</f>
        <v>5.7298726975221541</v>
      </c>
      <c r="U149" s="72">
        <f>(Graafit!V119*'Tuulivoimamelu '!V149)-(Graafit!Y119*Graafit!W75)</f>
        <v>0</v>
      </c>
      <c r="V149" s="82">
        <f>(O149+'Muunnokset lin A C'!D27)</f>
        <v>6.8987269752215425</v>
      </c>
      <c r="W149" s="73">
        <f>(V149/10)</f>
        <v>0.6898726975221543</v>
      </c>
      <c r="Y149" s="71">
        <f>(O149+'Muunnokset lin A C'!E27)</f>
        <v>51.098726975221538</v>
      </c>
      <c r="Z149" s="73">
        <f>(Y149/10)</f>
        <v>5.109872697522154</v>
      </c>
    </row>
    <row r="150" spans="2:30" ht="18.75">
      <c r="B150" s="70">
        <v>1700</v>
      </c>
      <c r="C150" s="4">
        <v>25</v>
      </c>
      <c r="D150" s="114">
        <f t="shared" ref="D150:D159" si="48">(D40)</f>
        <v>122.92470540278704</v>
      </c>
      <c r="F150" s="44">
        <f>(0.05/1000)*B150</f>
        <v>8.5000000000000006E-2</v>
      </c>
      <c r="H150" s="14">
        <v>5.4</v>
      </c>
      <c r="J150" s="44">
        <v>11</v>
      </c>
      <c r="L150" s="72">
        <f t="shared" ref="L150:L159" si="49">(20*LOG(B150))</f>
        <v>64.608978427565489</v>
      </c>
      <c r="N150" s="72">
        <f>(Graafit!V59*'Tuulivoimamelu '!O150)-(Graafit!Y59*Graafit!W76)</f>
        <v>0</v>
      </c>
      <c r="O150" s="72">
        <f t="shared" ref="O150:O159" si="50">(D150-F150+H150-J150-L150)</f>
        <v>52.630726975221563</v>
      </c>
      <c r="P150" s="73">
        <f t="shared" ref="P150:P159" si="51">(O150/10)</f>
        <v>5.2630726975221567</v>
      </c>
      <c r="U150" s="72">
        <f>(Graafit!V119*'Tuulivoimamelu '!V150)-(Graafit!Y119*Graafit!W76)</f>
        <v>0</v>
      </c>
      <c r="V150" s="71">
        <f>(O150+'Muunnokset lin A C'!D28)</f>
        <v>7.830726975221566</v>
      </c>
      <c r="W150" s="73">
        <f t="shared" ref="W150:W159" si="52">(V150/10)</f>
        <v>0.78307269752215658</v>
      </c>
      <c r="Y150" s="71">
        <f>(O150+'Muunnokset lin A C'!E28)</f>
        <v>48.230726975221565</v>
      </c>
      <c r="Z150" s="73">
        <f t="shared" ref="Z150:Z159" si="53">(Y150/10)</f>
        <v>4.8230726975221563</v>
      </c>
    </row>
    <row r="151" spans="2:30" ht="18.75">
      <c r="B151" s="70">
        <v>1700</v>
      </c>
      <c r="C151" s="4">
        <v>31.5</v>
      </c>
      <c r="D151" s="114">
        <f t="shared" si="48"/>
        <v>121.12470540278704</v>
      </c>
      <c r="F151" s="44">
        <f>(0.08/1000)*B151</f>
        <v>0.13600000000000001</v>
      </c>
      <c r="H151" s="14">
        <v>5.2</v>
      </c>
      <c r="J151" s="44">
        <v>11</v>
      </c>
      <c r="L151" s="72">
        <f t="shared" si="49"/>
        <v>64.608978427565489</v>
      </c>
      <c r="N151" s="72">
        <f>(Graafit!V59*'Tuulivoimamelu '!O151)-(Graafit!Y59*Graafit!W77)</f>
        <v>0</v>
      </c>
      <c r="O151" s="72">
        <f t="shared" si="50"/>
        <v>50.579726975221561</v>
      </c>
      <c r="P151" s="73">
        <f t="shared" si="51"/>
        <v>5.0579726975221559</v>
      </c>
      <c r="U151" s="72">
        <f>(Graafit!V119*'Tuulivoimamelu '!V151)-(Graafit!Y119*Graafit!W77)</f>
        <v>0</v>
      </c>
      <c r="V151" s="71">
        <f>(O151+'Muunnokset lin A C'!D29)</f>
        <v>11.079726975221561</v>
      </c>
      <c r="W151" s="73">
        <f t="shared" si="52"/>
        <v>1.1079726975221562</v>
      </c>
      <c r="Y151" s="71">
        <f>(O151+'Muunnokset lin A C'!E29)</f>
        <v>47.579726975221561</v>
      </c>
      <c r="Z151" s="73">
        <f t="shared" si="53"/>
        <v>4.7579726975221561</v>
      </c>
    </row>
    <row r="152" spans="2:30" ht="18.75">
      <c r="B152" s="70">
        <v>1700</v>
      </c>
      <c r="C152" s="4">
        <v>63</v>
      </c>
      <c r="D152" s="114">
        <f t="shared" si="48"/>
        <v>120.52470540278705</v>
      </c>
      <c r="F152" s="44">
        <f>(0.1/1000)*B152</f>
        <v>0.17</v>
      </c>
      <c r="H152" s="14">
        <v>4.3</v>
      </c>
      <c r="J152" s="44">
        <v>11</v>
      </c>
      <c r="L152" s="72">
        <f t="shared" si="49"/>
        <v>64.608978427565489</v>
      </c>
      <c r="N152" s="72">
        <f>(Graafit!V59*'Tuulivoimamelu '!O152)-(Graafit!Y59*Graafit!W78)</f>
        <v>0</v>
      </c>
      <c r="O152" s="72">
        <f t="shared" si="50"/>
        <v>49.045726975221555</v>
      </c>
      <c r="P152" s="73">
        <f t="shared" si="51"/>
        <v>4.9045726975221555</v>
      </c>
      <c r="U152" s="72">
        <f>(Graafit!V119*'Tuulivoimamelu '!V152)-(Graafit!Y119*Graafit!W78)</f>
        <v>0</v>
      </c>
      <c r="V152" s="71">
        <f>(O152+'Muunnokset lin A C'!D32)</f>
        <v>22.845726975221556</v>
      </c>
      <c r="W152" s="73">
        <f t="shared" si="52"/>
        <v>2.2845726975221554</v>
      </c>
      <c r="Y152" s="71">
        <f>(O152+'Muunnokset lin A C'!E32)</f>
        <v>48.245726975221558</v>
      </c>
      <c r="Z152" s="73">
        <f t="shared" si="53"/>
        <v>4.8245726975221555</v>
      </c>
    </row>
    <row r="153" spans="2:30" ht="18.75">
      <c r="B153" s="70">
        <v>1700</v>
      </c>
      <c r="C153" s="4">
        <v>125</v>
      </c>
      <c r="D153" s="114">
        <f t="shared" si="48"/>
        <v>116.02470540278705</v>
      </c>
      <c r="F153" s="44">
        <f>(0.4/1000)*B153</f>
        <v>0.68</v>
      </c>
      <c r="H153" s="14">
        <v>1.8</v>
      </c>
      <c r="J153" s="44">
        <v>11</v>
      </c>
      <c r="L153" s="72">
        <f t="shared" si="49"/>
        <v>64.608978427565489</v>
      </c>
      <c r="N153" s="72">
        <f>(Graafit!V59*'Tuulivoimamelu '!O153)-(Graafit!Y59*Graafit!W79)</f>
        <v>0</v>
      </c>
      <c r="O153" s="72">
        <f t="shared" si="50"/>
        <v>41.53572697522155</v>
      </c>
      <c r="P153" s="73">
        <f t="shared" si="51"/>
        <v>4.1535726975221552</v>
      </c>
      <c r="U153" s="72">
        <f>(Graafit!V119*'Tuulivoimamelu '!V153)-(Graafit!Y119*Graafit!W79)</f>
        <v>0</v>
      </c>
      <c r="V153" s="71">
        <f>(O153+'Muunnokset lin A C'!D35)</f>
        <v>25.335726975221551</v>
      </c>
      <c r="W153" s="73">
        <f t="shared" si="52"/>
        <v>2.5335726975221551</v>
      </c>
      <c r="Y153" s="71">
        <f>(O153+'Muunnokset lin A C'!E35)</f>
        <v>41.335726975221547</v>
      </c>
      <c r="Z153" s="73">
        <f t="shared" si="53"/>
        <v>4.1335726975221547</v>
      </c>
    </row>
    <row r="154" spans="2:30" ht="18.75">
      <c r="B154" s="70">
        <v>1700</v>
      </c>
      <c r="C154" s="4">
        <v>250</v>
      </c>
      <c r="D154" s="114">
        <f t="shared" si="48"/>
        <v>109.02470540278703</v>
      </c>
      <c r="F154" s="44">
        <f>(1/1000)*B154</f>
        <v>1.7</v>
      </c>
      <c r="H154" s="14">
        <v>-0.5</v>
      </c>
      <c r="J154" s="44">
        <v>11</v>
      </c>
      <c r="L154" s="72">
        <f t="shared" si="49"/>
        <v>64.608978427565489</v>
      </c>
      <c r="N154" s="72">
        <f>(Graafit!V59*'Tuulivoimamelu '!O154)-(Graafit!Y59*Graafit!W78)</f>
        <v>0</v>
      </c>
      <c r="O154" s="72">
        <f t="shared" si="50"/>
        <v>31.215726975221543</v>
      </c>
      <c r="P154" s="73">
        <f t="shared" si="51"/>
        <v>3.1215726975221543</v>
      </c>
      <c r="U154" s="72">
        <f>(Graafit!V119*'Tuulivoimamelu '!V154)-(Graafit!Y119*Graafit!W80)</f>
        <v>0</v>
      </c>
      <c r="V154" s="71">
        <f>(O154+'Muunnokset lin A C'!D38)</f>
        <v>22.615726975221541</v>
      </c>
      <c r="W154" s="73">
        <f t="shared" si="52"/>
        <v>2.261572697522154</v>
      </c>
      <c r="Y154" s="71">
        <f>(O154+'Muunnokset lin A C'!E38)</f>
        <v>31.215726975221543</v>
      </c>
      <c r="Z154" s="73">
        <f t="shared" si="53"/>
        <v>3.1215726975221543</v>
      </c>
    </row>
    <row r="155" spans="2:30" ht="18.75">
      <c r="B155" s="70">
        <v>1700</v>
      </c>
      <c r="C155" s="4">
        <v>500</v>
      </c>
      <c r="D155" s="114">
        <f t="shared" si="48"/>
        <v>106.12470540278704</v>
      </c>
      <c r="F155" s="44">
        <f>(1.9/1000)*B155</f>
        <v>3.23</v>
      </c>
      <c r="H155" s="14">
        <v>-3</v>
      </c>
      <c r="J155" s="44">
        <v>11</v>
      </c>
      <c r="L155" s="72">
        <f t="shared" si="49"/>
        <v>64.608978427565489</v>
      </c>
      <c r="N155" s="72">
        <f>(Graafit!V59*'Tuulivoimamelu '!O155)</f>
        <v>0</v>
      </c>
      <c r="O155" s="72">
        <f t="shared" si="50"/>
        <v>24.28572697522155</v>
      </c>
      <c r="P155" s="73">
        <f t="shared" si="51"/>
        <v>2.4285726975221551</v>
      </c>
      <c r="U155" s="72">
        <f>(Graafit!V119*'Tuulivoimamelu '!V155)</f>
        <v>0</v>
      </c>
      <c r="V155" s="71">
        <f>(O155+'Muunnokset lin A C'!D39)</f>
        <v>21.085726975221551</v>
      </c>
      <c r="W155" s="73">
        <f t="shared" si="52"/>
        <v>2.1085726975221553</v>
      </c>
      <c r="Y155" s="71">
        <f>(O155+'Muunnokset lin A C'!E39)</f>
        <v>24.28572697522155</v>
      </c>
      <c r="Z155" s="73">
        <f t="shared" si="53"/>
        <v>2.4285726975221551</v>
      </c>
    </row>
    <row r="156" spans="2:30" ht="18.75">
      <c r="B156" s="70">
        <v>1700</v>
      </c>
      <c r="C156" s="4">
        <v>1000</v>
      </c>
      <c r="D156" s="114">
        <f t="shared" si="48"/>
        <v>105.72470540278704</v>
      </c>
      <c r="F156" s="44">
        <f>(3.7/1000)*B156</f>
        <v>6.29</v>
      </c>
      <c r="H156" s="14">
        <v>-1</v>
      </c>
      <c r="J156" s="44">
        <v>11</v>
      </c>
      <c r="L156" s="72">
        <f t="shared" si="49"/>
        <v>64.608978427565489</v>
      </c>
      <c r="N156" s="72">
        <f>(Graafit!V59*'Tuulivoimamelu '!O156)</f>
        <v>0</v>
      </c>
      <c r="O156" s="72">
        <f t="shared" si="50"/>
        <v>22.825726975221542</v>
      </c>
      <c r="P156" s="73">
        <f t="shared" si="51"/>
        <v>2.2825726975221543</v>
      </c>
      <c r="U156" s="72">
        <f>(Graafit!V119*'Tuulivoimamelu '!V156)</f>
        <v>0</v>
      </c>
      <c r="V156" s="71">
        <f>(O156+'Muunnokset lin A C'!D40)</f>
        <v>22.825726975221542</v>
      </c>
      <c r="W156" s="73">
        <f t="shared" si="52"/>
        <v>2.2825726975221543</v>
      </c>
      <c r="Y156" s="71">
        <f>(O156+'Muunnokset lin A C'!E40)</f>
        <v>22.825726975221542</v>
      </c>
      <c r="Z156" s="73">
        <f t="shared" si="53"/>
        <v>2.2825726975221543</v>
      </c>
    </row>
    <row r="157" spans="2:30" ht="18.75">
      <c r="B157" s="70">
        <v>1700</v>
      </c>
      <c r="C157" s="4">
        <v>2000</v>
      </c>
      <c r="D157" s="114">
        <f t="shared" si="48"/>
        <v>102.42470540278704</v>
      </c>
      <c r="F157" s="44">
        <f>(9.7/1000)*B157</f>
        <v>16.489999999999998</v>
      </c>
      <c r="H157" s="14">
        <v>0</v>
      </c>
      <c r="J157" s="44">
        <v>11</v>
      </c>
      <c r="L157" s="72">
        <f t="shared" si="49"/>
        <v>64.608978427565489</v>
      </c>
      <c r="N157" s="72">
        <f>(Graafit!V59*'Tuulivoimamelu '!O157)</f>
        <v>0</v>
      </c>
      <c r="O157" s="72">
        <f t="shared" si="50"/>
        <v>10.325726975221556</v>
      </c>
      <c r="P157" s="73">
        <f t="shared" si="51"/>
        <v>1.0325726975221556</v>
      </c>
      <c r="U157" s="72">
        <f>(Graafit!V119*'Tuulivoimamelu '!V157)</f>
        <v>0</v>
      </c>
      <c r="V157" s="71">
        <f>(O157+'Muunnokset lin A C'!D41)</f>
        <v>11.525726975221556</v>
      </c>
      <c r="W157" s="73">
        <f t="shared" si="52"/>
        <v>1.1525726975221555</v>
      </c>
      <c r="Y157" s="71">
        <f>(O157+'Muunnokset lin A C'!E41)</f>
        <v>10.125726975221557</v>
      </c>
      <c r="Z157" s="73">
        <f t="shared" si="53"/>
        <v>1.0125726975221556</v>
      </c>
    </row>
    <row r="158" spans="2:30" ht="18.75">
      <c r="B158" s="70">
        <v>1700</v>
      </c>
      <c r="C158" s="4">
        <v>4000</v>
      </c>
      <c r="D158" s="114">
        <f t="shared" si="48"/>
        <v>97.724705402787038</v>
      </c>
      <c r="F158" s="44">
        <f>(32.8/1000)*B158</f>
        <v>55.759999999999991</v>
      </c>
      <c r="H158" s="14">
        <v>0</v>
      </c>
      <c r="J158" s="44">
        <v>11</v>
      </c>
      <c r="L158" s="72">
        <f t="shared" si="49"/>
        <v>64.608978427565489</v>
      </c>
      <c r="N158" s="72">
        <f>(Graafit!V59*'Tuulivoimamelu '!O158)</f>
        <v>0</v>
      </c>
      <c r="O158" s="72">
        <f t="shared" si="50"/>
        <v>-33.644273024778443</v>
      </c>
      <c r="P158" s="73">
        <f t="shared" si="51"/>
        <v>-3.3644273024778442</v>
      </c>
      <c r="U158" s="72">
        <f>(Graafit!V119*'Tuulivoimamelu '!V158)</f>
        <v>0</v>
      </c>
      <c r="V158" s="71">
        <f>(O158+'Muunnokset lin A C'!D42)</f>
        <v>-32.644273024778443</v>
      </c>
      <c r="W158" s="73">
        <f t="shared" si="52"/>
        <v>-3.2644273024778441</v>
      </c>
      <c r="Y158" s="71">
        <f>(O158+'Muunnokset lin A C'!E42)</f>
        <v>-34.44427302477844</v>
      </c>
      <c r="Z158" s="73">
        <f t="shared" si="53"/>
        <v>-3.4444273024778438</v>
      </c>
    </row>
    <row r="159" spans="2:30" ht="18.75">
      <c r="B159" s="70">
        <v>1700</v>
      </c>
      <c r="C159" s="4">
        <v>8000</v>
      </c>
      <c r="D159" s="114">
        <f t="shared" si="48"/>
        <v>92.024705402787035</v>
      </c>
      <c r="F159" s="44">
        <f>(117/1000)*B159</f>
        <v>198.9</v>
      </c>
      <c r="H159" s="14">
        <v>0</v>
      </c>
      <c r="J159" s="44">
        <v>11</v>
      </c>
      <c r="L159" s="72">
        <f t="shared" si="49"/>
        <v>64.608978427565489</v>
      </c>
      <c r="N159" s="72">
        <f>(Graafit!V59*'Tuulivoimamelu '!O159)</f>
        <v>0</v>
      </c>
      <c r="O159" s="72">
        <f t="shared" si="50"/>
        <v>-182.48427302477847</v>
      </c>
      <c r="P159" s="73">
        <f t="shared" si="51"/>
        <v>-18.248427302477847</v>
      </c>
      <c r="U159" s="72">
        <f>(Graafit!V119*'Tuulivoimamelu '!V159)</f>
        <v>0</v>
      </c>
      <c r="V159" s="71">
        <f>(O159+'Muunnokset lin A C'!D43)</f>
        <v>-183.58427302477847</v>
      </c>
      <c r="W159" s="73">
        <f t="shared" si="52"/>
        <v>-18.358427302477846</v>
      </c>
      <c r="Y159" s="71">
        <f>(O159+'Muunnokset lin A C'!E43)</f>
        <v>-185.48427302477847</v>
      </c>
      <c r="Z159" s="73">
        <f t="shared" si="53"/>
        <v>-18.548427302477847</v>
      </c>
    </row>
    <row r="160" spans="2:30">
      <c r="D160" s="71"/>
    </row>
    <row r="161" spans="2:30" ht="21">
      <c r="D161" s="71"/>
      <c r="N161" s="76">
        <f>(B149)</f>
        <v>1700</v>
      </c>
      <c r="O161" s="74">
        <f>(10*LOG(10^P149+10^P150+10^P151+10^P152+10^P153+10^P154+10^P155+10^P156+10^P157+10^P158+10^P159))</f>
        <v>59.688221180756933</v>
      </c>
      <c r="P161" s="75" t="s">
        <v>4</v>
      </c>
      <c r="R161" s="80">
        <f>(10*LOG(10^P149+10^P150+10^P151+10^P152+10^P153+10^P154))</f>
        <v>59.686024120708048</v>
      </c>
      <c r="S161" s="81" t="s">
        <v>4</v>
      </c>
      <c r="T161" s="17"/>
      <c r="U161" s="18"/>
      <c r="V161" s="74">
        <f>(10*LOG(10^W149+10^W150+10^W151+10^W152+10^W153+10^W154+10^W155+10^W156+10^W157+10^W158+10^W159))</f>
        <v>30.313736573173898</v>
      </c>
      <c r="W161" s="75" t="s">
        <v>2</v>
      </c>
      <c r="Y161" s="74">
        <f>(10*LOG(10^Z149+10^Z150+10^Z151+10^Z152+10^Z153+10^Z154+10^Z155+10^Z156+10^Z157+10^Z158+10^Z159))</f>
        <v>55.247396041181105</v>
      </c>
      <c r="Z161" s="75" t="s">
        <v>3</v>
      </c>
      <c r="AB161" s="1" t="s">
        <v>39</v>
      </c>
      <c r="AD161" s="83">
        <f>(Y161-V161)</f>
        <v>24.933659468007207</v>
      </c>
    </row>
    <row r="162" spans="2:30">
      <c r="D162" s="71"/>
      <c r="R162" s="20" t="s">
        <v>38</v>
      </c>
      <c r="S162" s="21"/>
      <c r="T162" s="21"/>
      <c r="U162" s="22"/>
    </row>
    <row r="163" spans="2:30">
      <c r="D163" s="71"/>
    </row>
    <row r="164" spans="2:30">
      <c r="D164" s="71"/>
      <c r="N164" t="s">
        <v>70</v>
      </c>
      <c r="U164" t="s">
        <v>70</v>
      </c>
    </row>
    <row r="165" spans="2:30" ht="18.75">
      <c r="B165" s="70">
        <v>1900</v>
      </c>
      <c r="C165" s="58">
        <v>20</v>
      </c>
      <c r="D165" s="114">
        <f>(D39)</f>
        <v>127.32470540278703</v>
      </c>
      <c r="F165" s="44">
        <f>(0.01/1000)*B165</f>
        <v>1.9000000000000003E-2</v>
      </c>
      <c r="H165" s="14">
        <v>5.6</v>
      </c>
      <c r="J165" s="44">
        <v>11</v>
      </c>
      <c r="L165" s="72">
        <f>(20*LOG(B165))</f>
        <v>65.575072019056577</v>
      </c>
      <c r="N165" s="72">
        <f>(Graafit!V60*'Tuulivoimamelu '!O165)-(Graafit!Y60*Graafit!W75)</f>
        <v>0</v>
      </c>
      <c r="O165" s="72">
        <f t="shared" ref="O165" si="54">(D165-F165+H165-J165-L165)</f>
        <v>56.330633383730444</v>
      </c>
      <c r="P165" s="73">
        <f>(O165/10)</f>
        <v>5.6330633383730442</v>
      </c>
      <c r="U165" s="72">
        <f>(Graafit!V120*'Tuulivoimamelu '!V165)-(Graafit!Y120*Graafit!W75)</f>
        <v>0</v>
      </c>
      <c r="V165" s="82">
        <f>(O165+'Muunnokset lin A C'!D27)</f>
        <v>5.930633383730445</v>
      </c>
      <c r="W165" s="73">
        <f>(V165/10)</f>
        <v>0.59306333837304448</v>
      </c>
      <c r="Y165" s="71">
        <f>(O165+'Muunnokset lin A C'!E27)</f>
        <v>50.130633383730441</v>
      </c>
      <c r="Z165" s="73">
        <f>(Y165/10)</f>
        <v>5.0130633383730441</v>
      </c>
    </row>
    <row r="166" spans="2:30" ht="18.75">
      <c r="B166" s="70">
        <v>1900</v>
      </c>
      <c r="C166" s="4">
        <v>25</v>
      </c>
      <c r="D166" s="114">
        <f t="shared" ref="D166:D175" si="55">(D40)</f>
        <v>122.92470540278704</v>
      </c>
      <c r="F166" s="44">
        <f>(0.05/1000)*B166</f>
        <v>9.5000000000000001E-2</v>
      </c>
      <c r="H166" s="14">
        <v>5.4</v>
      </c>
      <c r="J166" s="44">
        <v>11</v>
      </c>
      <c r="L166" s="72">
        <f t="shared" ref="L166:L175" si="56">(20*LOG(B166))</f>
        <v>65.575072019056577</v>
      </c>
      <c r="N166" s="72">
        <f>(Graafit!V60*'Tuulivoimamelu '!O166)-(Graafit!Y60*Graafit!W76)</f>
        <v>0</v>
      </c>
      <c r="O166" s="72">
        <f t="shared" ref="O166:O175" si="57">(D166-F166+H166-J166-L166)</f>
        <v>51.654633383730456</v>
      </c>
      <c r="P166" s="73">
        <f t="shared" ref="P166:P175" si="58">(O166/10)</f>
        <v>5.1654633383730459</v>
      </c>
      <c r="U166" s="72">
        <f>(Graafit!V120*'Tuulivoimamelu '!V166)-(Graafit!Y120*Graafit!W76)</f>
        <v>0</v>
      </c>
      <c r="V166" s="71">
        <f>(O166+'Muunnokset lin A C'!D28)</f>
        <v>6.8546333837304587</v>
      </c>
      <c r="W166" s="73">
        <f t="shared" ref="W166:W175" si="59">(V166/10)</f>
        <v>0.68546333837304585</v>
      </c>
      <c r="Y166" s="71">
        <f>(O166+'Muunnokset lin A C'!E28)</f>
        <v>47.254633383730457</v>
      </c>
      <c r="Z166" s="73">
        <f t="shared" ref="Z166:Z175" si="60">(Y166/10)</f>
        <v>4.7254633383730456</v>
      </c>
    </row>
    <row r="167" spans="2:30" ht="18.75">
      <c r="B167" s="70">
        <v>1900</v>
      </c>
      <c r="C167" s="4">
        <v>31.5</v>
      </c>
      <c r="D167" s="114">
        <f t="shared" si="55"/>
        <v>121.12470540278704</v>
      </c>
      <c r="F167" s="44">
        <f>(0.08/1000)*B167</f>
        <v>0.15200000000000002</v>
      </c>
      <c r="H167" s="14">
        <v>5.2</v>
      </c>
      <c r="J167" s="44">
        <v>11</v>
      </c>
      <c r="L167" s="72">
        <f t="shared" si="56"/>
        <v>65.575072019056577</v>
      </c>
      <c r="N167" s="72">
        <f>(Graafit!V60*'Tuulivoimamelu '!O167)-(Graafit!Y60*Graafit!W77)</f>
        <v>0</v>
      </c>
      <c r="O167" s="72">
        <f t="shared" si="57"/>
        <v>49.597633383730468</v>
      </c>
      <c r="P167" s="73">
        <f t="shared" si="58"/>
        <v>4.9597633383730466</v>
      </c>
      <c r="U167" s="72">
        <f>(Graafit!V120*'Tuulivoimamelu '!V167)-(Graafit!Y120*Graafit!W77)</f>
        <v>0</v>
      </c>
      <c r="V167" s="71">
        <f>(O167+'Muunnokset lin A C'!D29)</f>
        <v>10.097633383730468</v>
      </c>
      <c r="W167" s="73">
        <f t="shared" si="59"/>
        <v>1.0097633383730469</v>
      </c>
      <c r="Y167" s="71">
        <f>(O167+'Muunnokset lin A C'!E29)</f>
        <v>46.597633383730468</v>
      </c>
      <c r="Z167" s="73">
        <f t="shared" si="60"/>
        <v>4.6597633383730468</v>
      </c>
    </row>
    <row r="168" spans="2:30" ht="18.75">
      <c r="B168" s="70">
        <v>1900</v>
      </c>
      <c r="C168" s="4">
        <v>63</v>
      </c>
      <c r="D168" s="114">
        <f t="shared" si="55"/>
        <v>120.52470540278705</v>
      </c>
      <c r="F168" s="44">
        <f>(0.1/1000)*B168</f>
        <v>0.19</v>
      </c>
      <c r="H168" s="14">
        <v>4.3</v>
      </c>
      <c r="J168" s="44">
        <v>11</v>
      </c>
      <c r="L168" s="72">
        <f t="shared" si="56"/>
        <v>65.575072019056577</v>
      </c>
      <c r="N168" s="72">
        <f>(Graafit!V60*'Tuulivoimamelu '!O168)-(Graafit!Y60*Graafit!W78)</f>
        <v>0</v>
      </c>
      <c r="O168" s="72">
        <f t="shared" si="57"/>
        <v>48.059633383730471</v>
      </c>
      <c r="P168" s="73">
        <f t="shared" si="58"/>
        <v>4.8059633383730471</v>
      </c>
      <c r="U168" s="72">
        <f>(Graafit!V120*'Tuulivoimamelu '!V168)-(Graafit!Y120*Graafit!W78)</f>
        <v>0</v>
      </c>
      <c r="V168" s="71">
        <f>(O168+'Muunnokset lin A C'!D32)</f>
        <v>21.859633383730472</v>
      </c>
      <c r="W168" s="73">
        <f t="shared" si="59"/>
        <v>2.185963338373047</v>
      </c>
      <c r="Y168" s="71">
        <f>(O168+'Muunnokset lin A C'!E32)</f>
        <v>47.259633383730474</v>
      </c>
      <c r="Z168" s="73">
        <f t="shared" si="60"/>
        <v>4.7259633383730471</v>
      </c>
    </row>
    <row r="169" spans="2:30" ht="18.75">
      <c r="B169" s="70">
        <v>1900</v>
      </c>
      <c r="C169" s="4">
        <v>125</v>
      </c>
      <c r="D169" s="114">
        <f t="shared" si="55"/>
        <v>116.02470540278705</v>
      </c>
      <c r="F169" s="44">
        <f>(0.4/1000)*B169</f>
        <v>0.76</v>
      </c>
      <c r="H169" s="14">
        <v>1.8</v>
      </c>
      <c r="J169" s="44">
        <v>11</v>
      </c>
      <c r="L169" s="72">
        <f t="shared" si="56"/>
        <v>65.575072019056577</v>
      </c>
      <c r="N169" s="72">
        <f>(Graafit!V60*'Tuulivoimamelu '!O169)-(Graafit!Y60*Graafit!W79)</f>
        <v>0</v>
      </c>
      <c r="O169" s="72">
        <f t="shared" si="57"/>
        <v>40.489633383730464</v>
      </c>
      <c r="P169" s="73">
        <f t="shared" si="58"/>
        <v>4.0489633383730466</v>
      </c>
      <c r="U169" s="72">
        <f>(Graafit!V120*'Tuulivoimamelu '!V169)-(Graafit!Y120*Graafit!W79)</f>
        <v>0</v>
      </c>
      <c r="V169" s="71">
        <f>(O169+'Muunnokset lin A C'!D35)</f>
        <v>24.289633383730465</v>
      </c>
      <c r="W169" s="73">
        <f t="shared" si="59"/>
        <v>2.4289633383730465</v>
      </c>
      <c r="Y169" s="71">
        <f>(O169+'Muunnokset lin A C'!E35)</f>
        <v>40.289633383730461</v>
      </c>
      <c r="Z169" s="73">
        <f t="shared" si="60"/>
        <v>4.0289633383730461</v>
      </c>
    </row>
    <row r="170" spans="2:30" ht="18.75">
      <c r="B170" s="70">
        <v>1900</v>
      </c>
      <c r="C170" s="4">
        <v>250</v>
      </c>
      <c r="D170" s="114">
        <f t="shared" si="55"/>
        <v>109.02470540278703</v>
      </c>
      <c r="F170" s="44">
        <f>(1/1000)*B170</f>
        <v>1.9000000000000001</v>
      </c>
      <c r="H170" s="14">
        <v>-0.5</v>
      </c>
      <c r="J170" s="44">
        <v>11</v>
      </c>
      <c r="L170" s="72">
        <f t="shared" si="56"/>
        <v>65.575072019056577</v>
      </c>
      <c r="N170" s="72">
        <f>(Graafit!V60*'Tuulivoimamelu '!O170)-(Graafit!Y60*Graafit!W80)</f>
        <v>0</v>
      </c>
      <c r="O170" s="72">
        <f t="shared" si="57"/>
        <v>30.049633383730452</v>
      </c>
      <c r="P170" s="73">
        <f t="shared" si="58"/>
        <v>3.0049633383730452</v>
      </c>
      <c r="U170" s="72">
        <f>(Graafit!V120*'Tuulivoimamelu '!V170)-(Graafit!Y120*Graafit!W80)</f>
        <v>0</v>
      </c>
      <c r="V170" s="71">
        <f>(O170+'Muunnokset lin A C'!D38)</f>
        <v>21.44963338373045</v>
      </c>
      <c r="W170" s="73">
        <f t="shared" si="59"/>
        <v>2.1449633383730449</v>
      </c>
      <c r="Y170" s="71">
        <f>(O170+'Muunnokset lin A C'!E38)</f>
        <v>30.049633383730452</v>
      </c>
      <c r="Z170" s="73">
        <f t="shared" si="60"/>
        <v>3.0049633383730452</v>
      </c>
    </row>
    <row r="171" spans="2:30" ht="18.75">
      <c r="B171" s="70">
        <v>1900</v>
      </c>
      <c r="C171" s="4">
        <v>500</v>
      </c>
      <c r="D171" s="114">
        <f t="shared" si="55"/>
        <v>106.12470540278704</v>
      </c>
      <c r="F171" s="44">
        <f>(1.9/1000)*B171</f>
        <v>3.61</v>
      </c>
      <c r="H171" s="14">
        <v>-3</v>
      </c>
      <c r="J171" s="44">
        <v>11</v>
      </c>
      <c r="L171" s="72">
        <f t="shared" si="56"/>
        <v>65.575072019056577</v>
      </c>
      <c r="N171" s="72">
        <f>(Graafit!V60*'Tuulivoimamelu '!O171)</f>
        <v>0</v>
      </c>
      <c r="O171" s="72">
        <f t="shared" si="57"/>
        <v>22.939633383730467</v>
      </c>
      <c r="P171" s="73">
        <f t="shared" si="58"/>
        <v>2.2939633383730467</v>
      </c>
      <c r="U171" s="72">
        <f>(Graafit!V120*'Tuulivoimamelu '!V171)</f>
        <v>0</v>
      </c>
      <c r="V171" s="71">
        <f>(O171+'Muunnokset lin A C'!D39)</f>
        <v>19.739633383730467</v>
      </c>
      <c r="W171" s="73">
        <f t="shared" si="59"/>
        <v>1.9739633383730468</v>
      </c>
      <c r="Y171" s="71">
        <f>(O171+'Muunnokset lin A C'!E39)</f>
        <v>22.939633383730467</v>
      </c>
      <c r="Z171" s="73">
        <f t="shared" si="60"/>
        <v>2.2939633383730467</v>
      </c>
    </row>
    <row r="172" spans="2:30" ht="18.75">
      <c r="B172" s="70">
        <v>1900</v>
      </c>
      <c r="C172" s="4">
        <v>1000</v>
      </c>
      <c r="D172" s="114">
        <f t="shared" si="55"/>
        <v>105.72470540278704</v>
      </c>
      <c r="F172" s="44">
        <f>(3.7/1000)*B172</f>
        <v>7.03</v>
      </c>
      <c r="H172" s="14">
        <v>-1</v>
      </c>
      <c r="J172" s="44">
        <v>11</v>
      </c>
      <c r="L172" s="72">
        <f t="shared" si="56"/>
        <v>65.575072019056577</v>
      </c>
      <c r="N172" s="72">
        <f>(Graafit!V60*'Tuulivoimamelu '!O172)</f>
        <v>0</v>
      </c>
      <c r="O172" s="72">
        <f t="shared" si="57"/>
        <v>21.119633383730459</v>
      </c>
      <c r="P172" s="73">
        <f t="shared" si="58"/>
        <v>2.1119633383730458</v>
      </c>
      <c r="U172" s="72">
        <f>(Graafit!V120*'Tuulivoimamelu '!V172)</f>
        <v>0</v>
      </c>
      <c r="V172" s="71">
        <f>(O172+'Muunnokset lin A C'!D40)</f>
        <v>21.119633383730459</v>
      </c>
      <c r="W172" s="73">
        <f t="shared" si="59"/>
        <v>2.1119633383730458</v>
      </c>
      <c r="Y172" s="71">
        <f>(O172+'Muunnokset lin A C'!E40)</f>
        <v>21.119633383730459</v>
      </c>
      <c r="Z172" s="73">
        <f t="shared" si="60"/>
        <v>2.1119633383730458</v>
      </c>
    </row>
    <row r="173" spans="2:30" ht="18.75">
      <c r="B173" s="70">
        <v>1900</v>
      </c>
      <c r="C173" s="4">
        <v>2000</v>
      </c>
      <c r="D173" s="114">
        <f t="shared" si="55"/>
        <v>102.42470540278704</v>
      </c>
      <c r="F173" s="44">
        <f>(9.7/1000)*B173</f>
        <v>18.429999999999996</v>
      </c>
      <c r="H173" s="14">
        <v>0</v>
      </c>
      <c r="J173" s="44">
        <v>11</v>
      </c>
      <c r="L173" s="72">
        <f t="shared" si="56"/>
        <v>65.575072019056577</v>
      </c>
      <c r="N173" s="72">
        <f>(Graafit!V60*'Tuulivoimamelu '!O173)</f>
        <v>0</v>
      </c>
      <c r="O173" s="72">
        <f t="shared" si="57"/>
        <v>7.4196333837304707</v>
      </c>
      <c r="P173" s="73">
        <f t="shared" si="58"/>
        <v>0.74196333837304707</v>
      </c>
      <c r="U173" s="72">
        <f>(Graafit!V120*'Tuulivoimamelu '!V173)</f>
        <v>0</v>
      </c>
      <c r="V173" s="71">
        <f>(O173+'Muunnokset lin A C'!D41)</f>
        <v>8.6196333837304699</v>
      </c>
      <c r="W173" s="73">
        <f t="shared" si="59"/>
        <v>0.86196333837304695</v>
      </c>
      <c r="Y173" s="71">
        <f>(O173+'Muunnokset lin A C'!E41)</f>
        <v>7.2196333837304705</v>
      </c>
      <c r="Z173" s="73">
        <f t="shared" si="60"/>
        <v>0.72196333837304705</v>
      </c>
    </row>
    <row r="174" spans="2:30" ht="18.75">
      <c r="B174" s="70">
        <v>1900</v>
      </c>
      <c r="C174" s="4">
        <v>4000</v>
      </c>
      <c r="D174" s="114">
        <f t="shared" si="55"/>
        <v>97.724705402787038</v>
      </c>
      <c r="F174" s="44">
        <f>(32.8/1000)*B174</f>
        <v>62.319999999999993</v>
      </c>
      <c r="H174" s="14">
        <v>0</v>
      </c>
      <c r="J174" s="44">
        <v>11</v>
      </c>
      <c r="L174" s="72">
        <f t="shared" si="56"/>
        <v>65.575072019056577</v>
      </c>
      <c r="N174" s="72">
        <f>(Graafit!V60*'Tuulivoimamelu '!O174)</f>
        <v>0</v>
      </c>
      <c r="O174" s="72">
        <f t="shared" si="57"/>
        <v>-41.170366616269533</v>
      </c>
      <c r="P174" s="73">
        <f t="shared" si="58"/>
        <v>-4.1170366616269529</v>
      </c>
      <c r="U174" s="72">
        <f>(Graafit!V120*'Tuulivoimamelu '!V174)</f>
        <v>0</v>
      </c>
      <c r="V174" s="71">
        <f>(O174+'Muunnokset lin A C'!D42)</f>
        <v>-40.170366616269533</v>
      </c>
      <c r="W174" s="73">
        <f t="shared" si="59"/>
        <v>-4.0170366616269533</v>
      </c>
      <c r="Y174" s="71">
        <f>(O174+'Muunnokset lin A C'!E42)</f>
        <v>-41.97036661626953</v>
      </c>
      <c r="Z174" s="73">
        <f t="shared" si="60"/>
        <v>-4.197036661626953</v>
      </c>
    </row>
    <row r="175" spans="2:30" ht="18.75">
      <c r="B175" s="70">
        <v>1900</v>
      </c>
      <c r="C175" s="4">
        <v>8000</v>
      </c>
      <c r="D175" s="114">
        <f t="shared" si="55"/>
        <v>92.024705402787035</v>
      </c>
      <c r="F175" s="44">
        <f>(117/1000)*B175</f>
        <v>222.3</v>
      </c>
      <c r="H175" s="14">
        <v>0</v>
      </c>
      <c r="J175" s="44">
        <v>11</v>
      </c>
      <c r="L175" s="72">
        <f t="shared" si="56"/>
        <v>65.575072019056577</v>
      </c>
      <c r="N175" s="72">
        <f>(Graafit!V60*'Tuulivoimamelu '!O175)</f>
        <v>0</v>
      </c>
      <c r="O175" s="72">
        <f t="shared" si="57"/>
        <v>-206.85036661626953</v>
      </c>
      <c r="P175" s="73">
        <f t="shared" si="58"/>
        <v>-20.685036661626953</v>
      </c>
      <c r="U175" s="72">
        <f>(Graafit!V120*'Tuulivoimamelu '!V175)</f>
        <v>0</v>
      </c>
      <c r="V175" s="71">
        <f>(O175+'Muunnokset lin A C'!D43)</f>
        <v>-207.95036661626952</v>
      </c>
      <c r="W175" s="73">
        <f t="shared" si="59"/>
        <v>-20.795036661626952</v>
      </c>
      <c r="Y175" s="71">
        <f>(O175+'Muunnokset lin A C'!E43)</f>
        <v>-209.85036661626953</v>
      </c>
      <c r="Z175" s="73">
        <f t="shared" si="60"/>
        <v>-20.985036661626953</v>
      </c>
    </row>
    <row r="176" spans="2:30">
      <c r="D176" s="71"/>
    </row>
    <row r="177" spans="2:30" ht="21">
      <c r="D177" s="71"/>
      <c r="N177" s="76">
        <f>(B165)</f>
        <v>1900</v>
      </c>
      <c r="O177" s="74">
        <f>(10*LOG(10^P165+10^P166+10^P167+10^P168+10^P169+10^P170+10^P171+10^P172+10^P173+10^P174+10^P175))</f>
        <v>58.713563086543431</v>
      </c>
      <c r="P177" s="75" t="s">
        <v>4</v>
      </c>
      <c r="R177" s="80">
        <f>(10*LOG(10^P165+10^P166+10^P167+10^P168+10^P169+10^P170))</f>
        <v>58.711625452562231</v>
      </c>
      <c r="S177" s="81" t="s">
        <v>4</v>
      </c>
      <c r="T177" s="17"/>
      <c r="U177" s="18"/>
      <c r="V177" s="74">
        <f>(10*LOG(10^W165+10^W166+10^W167+10^W168+10^W169+10^W170+10^W171+10^W172+10^W173+10^W174+10^W175))</f>
        <v>29.092589575833678</v>
      </c>
      <c r="W177" s="75" t="s">
        <v>2</v>
      </c>
      <c r="Y177" s="74">
        <f>(10*LOG(10^Z165+10^Z166+10^Z167+10^Z168+10^Z169+10^Z170+10^Z171+10^Z172+10^Z173+10^Z174+10^Z175))</f>
        <v>54.267090052440643</v>
      </c>
      <c r="Z177" s="75" t="s">
        <v>3</v>
      </c>
      <c r="AB177" s="1" t="s">
        <v>39</v>
      </c>
      <c r="AD177" s="83">
        <f>(Y177-V177)</f>
        <v>25.174500476606966</v>
      </c>
    </row>
    <row r="178" spans="2:30">
      <c r="D178" s="71"/>
      <c r="R178" s="20" t="s">
        <v>38</v>
      </c>
      <c r="S178" s="21"/>
      <c r="T178" s="21"/>
      <c r="U178" s="22"/>
    </row>
    <row r="179" spans="2:30">
      <c r="D179" s="71"/>
    </row>
    <row r="180" spans="2:30">
      <c r="D180" s="71"/>
      <c r="N180" t="s">
        <v>70</v>
      </c>
      <c r="U180" t="s">
        <v>70</v>
      </c>
    </row>
    <row r="181" spans="2:30" ht="18.75">
      <c r="B181" s="70">
        <v>2100</v>
      </c>
      <c r="C181" s="58">
        <v>20</v>
      </c>
      <c r="D181" s="114">
        <f>(D39)</f>
        <v>127.32470540278703</v>
      </c>
      <c r="F181" s="44">
        <f>(0.01/1000)*B181</f>
        <v>2.1000000000000001E-2</v>
      </c>
      <c r="H181" s="14">
        <v>5.6</v>
      </c>
      <c r="J181" s="44">
        <v>11</v>
      </c>
      <c r="L181" s="72">
        <f>(20*LOG(B181))</f>
        <v>66.444385894678376</v>
      </c>
      <c r="N181" s="72">
        <f>(Graafit!V61*'Tuulivoimamelu '!O181)</f>
        <v>0</v>
      </c>
      <c r="O181" s="72">
        <f t="shared" ref="O181" si="61">(D181-F181+H181-J181-L181)</f>
        <v>55.459319508108663</v>
      </c>
      <c r="P181" s="73">
        <f>(O181/10)</f>
        <v>5.545931950810866</v>
      </c>
      <c r="U181" s="72">
        <f>(Graafit!V121*'Tuulivoimamelu '!V181)</f>
        <v>0</v>
      </c>
      <c r="V181" s="82">
        <f>(O181+'Muunnokset lin A C'!D27)</f>
        <v>5.0593195081086648</v>
      </c>
      <c r="W181" s="73">
        <f>(V181/10)</f>
        <v>0.5059319508108665</v>
      </c>
      <c r="Y181" s="71">
        <f>(O181+'Muunnokset lin A C'!E27)</f>
        <v>49.259319508108661</v>
      </c>
      <c r="Z181" s="73">
        <f>(Y181/10)</f>
        <v>4.9259319508108659</v>
      </c>
    </row>
    <row r="182" spans="2:30" ht="18.75">
      <c r="B182" s="70">
        <v>2100</v>
      </c>
      <c r="C182" s="4">
        <v>25</v>
      </c>
      <c r="D182" s="114">
        <f t="shared" ref="D182:D191" si="62">(D40)</f>
        <v>122.92470540278704</v>
      </c>
      <c r="F182" s="44">
        <f>(0.05/1000)*B182</f>
        <v>0.10500000000000001</v>
      </c>
      <c r="H182" s="14">
        <v>5.4</v>
      </c>
      <c r="J182" s="44">
        <v>11</v>
      </c>
      <c r="L182" s="72">
        <f t="shared" ref="L182:L191" si="63">(20*LOG(B182))</f>
        <v>66.444385894678376</v>
      </c>
      <c r="N182" s="72">
        <f>(Graafit!V61*'Tuulivoimamelu '!O182)</f>
        <v>0</v>
      </c>
      <c r="O182" s="72">
        <f t="shared" ref="O182:O191" si="64">(D182-F182+H182-J182-L182)</f>
        <v>50.775319508108666</v>
      </c>
      <c r="P182" s="73">
        <f t="shared" ref="P182:P191" si="65">(O182/10)</f>
        <v>5.0775319508108669</v>
      </c>
      <c r="U182" s="72">
        <f>(Graafit!V121*'Tuulivoimamelu '!V182)</f>
        <v>0</v>
      </c>
      <c r="V182" s="71">
        <f>(O182+'Muunnokset lin A C'!D28)</f>
        <v>5.9753195081086687</v>
      </c>
      <c r="W182" s="73">
        <f t="shared" ref="W182:W191" si="66">(V182/10)</f>
        <v>0.59753195081086685</v>
      </c>
      <c r="Y182" s="71">
        <f>(O182+'Muunnokset lin A C'!E28)</f>
        <v>46.375319508108667</v>
      </c>
      <c r="Z182" s="73">
        <f t="shared" ref="Z182:Z191" si="67">(Y182/10)</f>
        <v>4.6375319508108666</v>
      </c>
    </row>
    <row r="183" spans="2:30" ht="18.75">
      <c r="B183" s="70">
        <v>2100</v>
      </c>
      <c r="C183" s="4">
        <v>31.5</v>
      </c>
      <c r="D183" s="114">
        <f t="shared" si="62"/>
        <v>121.12470540278704</v>
      </c>
      <c r="F183" s="44">
        <f>(0.08/1000)*B183</f>
        <v>0.16800000000000001</v>
      </c>
      <c r="H183" s="14">
        <v>5.2</v>
      </c>
      <c r="J183" s="44">
        <v>11</v>
      </c>
      <c r="L183" s="72">
        <f t="shared" si="63"/>
        <v>66.444385894678376</v>
      </c>
      <c r="N183" s="72">
        <f>(Graafit!V61*'Tuulivoimamelu '!O183)</f>
        <v>0</v>
      </c>
      <c r="O183" s="72">
        <f t="shared" si="64"/>
        <v>48.712319508108664</v>
      </c>
      <c r="P183" s="73">
        <f t="shared" si="65"/>
        <v>4.8712319508108664</v>
      </c>
      <c r="U183" s="72">
        <f>(Graafit!V121*'Tuulivoimamelu '!V183)</f>
        <v>0</v>
      </c>
      <c r="V183" s="71">
        <f>(O183+'Muunnokset lin A C'!D29)</f>
        <v>9.2123195081086635</v>
      </c>
      <c r="W183" s="73">
        <f t="shared" si="66"/>
        <v>0.9212319508108664</v>
      </c>
      <c r="Y183" s="71">
        <f>(O183+'Muunnokset lin A C'!E29)</f>
        <v>45.712319508108664</v>
      </c>
      <c r="Z183" s="73">
        <f t="shared" si="67"/>
        <v>4.5712319508108665</v>
      </c>
    </row>
    <row r="184" spans="2:30" ht="18.75">
      <c r="B184" s="70">
        <v>2100</v>
      </c>
      <c r="C184" s="4">
        <v>63</v>
      </c>
      <c r="D184" s="114">
        <f t="shared" si="62"/>
        <v>120.52470540278705</v>
      </c>
      <c r="F184" s="44">
        <f>(0.1/1000)*B184</f>
        <v>0.21000000000000002</v>
      </c>
      <c r="H184" s="14">
        <v>4.3</v>
      </c>
      <c r="J184" s="44">
        <v>11</v>
      </c>
      <c r="L184" s="72">
        <f t="shared" si="63"/>
        <v>66.444385894678376</v>
      </c>
      <c r="N184" s="72">
        <f>(Graafit!V61*'Tuulivoimamelu '!O184)</f>
        <v>0</v>
      </c>
      <c r="O184" s="72">
        <f t="shared" si="64"/>
        <v>47.170319508108676</v>
      </c>
      <c r="P184" s="73">
        <f t="shared" si="65"/>
        <v>4.7170319508108678</v>
      </c>
      <c r="U184" s="72">
        <f>(Graafit!V121*'Tuulivoimamelu '!V184)</f>
        <v>0</v>
      </c>
      <c r="V184" s="71">
        <f>(O184+'Muunnokset lin A C'!D32)</f>
        <v>20.970319508108677</v>
      </c>
      <c r="W184" s="73">
        <f t="shared" si="66"/>
        <v>2.0970319508108677</v>
      </c>
      <c r="Y184" s="71">
        <f>(O184+'Muunnokset lin A C'!E32)</f>
        <v>46.370319508108679</v>
      </c>
      <c r="Z184" s="73">
        <f t="shared" si="67"/>
        <v>4.6370319508108677</v>
      </c>
    </row>
    <row r="185" spans="2:30" ht="18.75">
      <c r="B185" s="70">
        <v>2100</v>
      </c>
      <c r="C185" s="4">
        <v>125</v>
      </c>
      <c r="D185" s="114">
        <f t="shared" si="62"/>
        <v>116.02470540278705</v>
      </c>
      <c r="F185" s="44">
        <f>(0.4/1000)*B185</f>
        <v>0.84000000000000008</v>
      </c>
      <c r="H185" s="14">
        <v>1.8</v>
      </c>
      <c r="J185" s="44">
        <v>11</v>
      </c>
      <c r="L185" s="72">
        <f t="shared" si="63"/>
        <v>66.444385894678376</v>
      </c>
      <c r="N185" s="72">
        <f>(Graafit!V61*'Tuulivoimamelu '!O185)</f>
        <v>0</v>
      </c>
      <c r="O185" s="72">
        <f t="shared" si="64"/>
        <v>39.540319508108666</v>
      </c>
      <c r="P185" s="73">
        <f t="shared" si="65"/>
        <v>3.9540319508108666</v>
      </c>
      <c r="U185" s="72">
        <f>(Graafit!V121*'Tuulivoimamelu '!V185)</f>
        <v>0</v>
      </c>
      <c r="V185" s="71">
        <f>(O185+'Muunnokset lin A C'!D35)</f>
        <v>23.340319508108667</v>
      </c>
      <c r="W185" s="73">
        <f t="shared" si="66"/>
        <v>2.3340319508108669</v>
      </c>
      <c r="Y185" s="71">
        <f>(O185+'Muunnokset lin A C'!E35)</f>
        <v>39.340319508108664</v>
      </c>
      <c r="Z185" s="73">
        <f t="shared" si="67"/>
        <v>3.9340319508108665</v>
      </c>
    </row>
    <row r="186" spans="2:30" ht="18.75">
      <c r="B186" s="70">
        <v>2100</v>
      </c>
      <c r="C186" s="4">
        <v>250</v>
      </c>
      <c r="D186" s="114">
        <f t="shared" si="62"/>
        <v>109.02470540278703</v>
      </c>
      <c r="F186" s="44">
        <f>(1/1000)*B186</f>
        <v>2.1</v>
      </c>
      <c r="H186" s="14">
        <v>-0.5</v>
      </c>
      <c r="J186" s="44">
        <v>11</v>
      </c>
      <c r="L186" s="72">
        <f t="shared" si="63"/>
        <v>66.444385894678376</v>
      </c>
      <c r="N186" s="72">
        <f>(Graafit!V61*'Tuulivoimamelu '!O186)</f>
        <v>0</v>
      </c>
      <c r="O186" s="72">
        <f t="shared" si="64"/>
        <v>28.980319508108664</v>
      </c>
      <c r="P186" s="73">
        <f t="shared" si="65"/>
        <v>2.8980319508108665</v>
      </c>
      <c r="U186" s="72">
        <f>(Graafit!V121*'Tuulivoimamelu '!V186)</f>
        <v>0</v>
      </c>
      <c r="V186" s="71">
        <f>(O186+'Muunnokset lin A C'!D38)</f>
        <v>20.380319508108663</v>
      </c>
      <c r="W186" s="73">
        <f t="shared" si="66"/>
        <v>2.0380319508108662</v>
      </c>
      <c r="Y186" s="71">
        <f>(O186+'Muunnokset lin A C'!E38)</f>
        <v>28.980319508108664</v>
      </c>
      <c r="Z186" s="73">
        <f t="shared" si="67"/>
        <v>2.8980319508108665</v>
      </c>
    </row>
    <row r="187" spans="2:30" ht="18.75">
      <c r="B187" s="70">
        <v>2100</v>
      </c>
      <c r="C187" s="4">
        <v>500</v>
      </c>
      <c r="D187" s="114">
        <f t="shared" si="62"/>
        <v>106.12470540278704</v>
      </c>
      <c r="F187" s="44">
        <f>(1.9/1000)*B187</f>
        <v>3.99</v>
      </c>
      <c r="H187" s="14">
        <v>-3</v>
      </c>
      <c r="J187" s="44">
        <v>11</v>
      </c>
      <c r="L187" s="72">
        <f t="shared" si="63"/>
        <v>66.444385894678376</v>
      </c>
      <c r="N187" s="72">
        <f>(Graafit!V61*'Tuulivoimamelu '!O187)</f>
        <v>0</v>
      </c>
      <c r="O187" s="72">
        <f t="shared" si="64"/>
        <v>21.690319508108672</v>
      </c>
      <c r="P187" s="73">
        <f t="shared" si="65"/>
        <v>2.1690319508108673</v>
      </c>
      <c r="U187" s="72">
        <f>(Graafit!V121*'Tuulivoimamelu '!V187)</f>
        <v>0</v>
      </c>
      <c r="V187" s="71">
        <f>(O187+'Muunnokset lin A C'!D39)</f>
        <v>18.490319508108673</v>
      </c>
      <c r="W187" s="73">
        <f t="shared" si="66"/>
        <v>1.8490319508108672</v>
      </c>
      <c r="Y187" s="71">
        <f>(O187+'Muunnokset lin A C'!E39)</f>
        <v>21.690319508108672</v>
      </c>
      <c r="Z187" s="73">
        <f t="shared" si="67"/>
        <v>2.1690319508108673</v>
      </c>
    </row>
    <row r="188" spans="2:30" ht="18.75">
      <c r="B188" s="70">
        <v>2100</v>
      </c>
      <c r="C188" s="4">
        <v>1000</v>
      </c>
      <c r="D188" s="114">
        <f t="shared" si="62"/>
        <v>105.72470540278704</v>
      </c>
      <c r="F188" s="44">
        <f>(3.7/1000)*B188</f>
        <v>7.7700000000000005</v>
      </c>
      <c r="H188" s="14">
        <v>-1</v>
      </c>
      <c r="J188" s="44">
        <v>11</v>
      </c>
      <c r="L188" s="72">
        <f t="shared" si="63"/>
        <v>66.444385894678376</v>
      </c>
      <c r="N188" s="72">
        <f>(Graafit!V61*'Tuulivoimamelu '!O188)</f>
        <v>0</v>
      </c>
      <c r="O188" s="72">
        <f t="shared" si="64"/>
        <v>19.510319508108665</v>
      </c>
      <c r="P188" s="73">
        <f t="shared" si="65"/>
        <v>1.9510319508108664</v>
      </c>
      <c r="U188" s="72">
        <f>(Graafit!V121*'Tuulivoimamelu '!V188)</f>
        <v>0</v>
      </c>
      <c r="V188" s="71">
        <f>(O188+'Muunnokset lin A C'!D40)</f>
        <v>19.510319508108665</v>
      </c>
      <c r="W188" s="73">
        <f t="shared" si="66"/>
        <v>1.9510319508108664</v>
      </c>
      <c r="Y188" s="71">
        <f>(O188+'Muunnokset lin A C'!E40)</f>
        <v>19.510319508108665</v>
      </c>
      <c r="Z188" s="73">
        <f t="shared" si="67"/>
        <v>1.9510319508108664</v>
      </c>
    </row>
    <row r="189" spans="2:30" ht="18.75">
      <c r="B189" s="70">
        <v>2100</v>
      </c>
      <c r="C189" s="4">
        <v>2000</v>
      </c>
      <c r="D189" s="114">
        <f t="shared" si="62"/>
        <v>102.42470540278704</v>
      </c>
      <c r="F189" s="44">
        <f>(9.7/1000)*B189</f>
        <v>20.369999999999997</v>
      </c>
      <c r="H189" s="14">
        <v>0</v>
      </c>
      <c r="J189" s="44">
        <v>11</v>
      </c>
      <c r="L189" s="72">
        <f t="shared" si="63"/>
        <v>66.444385894678376</v>
      </c>
      <c r="N189" s="72">
        <f>(Graafit!V61*'Tuulivoimamelu '!O189)</f>
        <v>0</v>
      </c>
      <c r="O189" s="72">
        <f t="shared" si="64"/>
        <v>4.6103195081086739</v>
      </c>
      <c r="P189" s="73">
        <f t="shared" si="65"/>
        <v>0.4610319508108674</v>
      </c>
      <c r="U189" s="72">
        <f>(Graafit!V121*'Tuulivoimamelu '!V189)</f>
        <v>0</v>
      </c>
      <c r="V189" s="71">
        <f>(O189+'Muunnokset lin A C'!D41)</f>
        <v>5.810319508108674</v>
      </c>
      <c r="W189" s="73">
        <f t="shared" si="66"/>
        <v>0.58103195081086745</v>
      </c>
      <c r="Y189" s="71">
        <f>(O189+'Muunnokset lin A C'!E41)</f>
        <v>4.4103195081086737</v>
      </c>
      <c r="Z189" s="73">
        <f t="shared" si="67"/>
        <v>0.44103195081086738</v>
      </c>
    </row>
    <row r="190" spans="2:30" ht="18.75">
      <c r="B190" s="70">
        <v>2100</v>
      </c>
      <c r="C190" s="4">
        <v>4000</v>
      </c>
      <c r="D190" s="114">
        <f t="shared" si="62"/>
        <v>97.724705402787038</v>
      </c>
      <c r="F190" s="44">
        <f>(32.8/1000)*B190</f>
        <v>68.88</v>
      </c>
      <c r="H190" s="14">
        <v>0</v>
      </c>
      <c r="J190" s="44">
        <v>11</v>
      </c>
      <c r="L190" s="72">
        <f t="shared" si="63"/>
        <v>66.444385894678376</v>
      </c>
      <c r="N190" s="72">
        <f>(Graafit!V61*'Tuulivoimamelu '!O190)</f>
        <v>0</v>
      </c>
      <c r="O190" s="72">
        <f t="shared" si="64"/>
        <v>-48.599680491891334</v>
      </c>
      <c r="P190" s="73">
        <f t="shared" si="65"/>
        <v>-4.8599680491891331</v>
      </c>
      <c r="U190" s="72">
        <f>(Graafit!V121*'Tuulivoimamelu '!V190)</f>
        <v>0</v>
      </c>
      <c r="V190" s="71">
        <f>(O190+'Muunnokset lin A C'!D42)</f>
        <v>-47.599680491891334</v>
      </c>
      <c r="W190" s="73">
        <f t="shared" si="66"/>
        <v>-4.7599680491891334</v>
      </c>
      <c r="Y190" s="71">
        <f>(O190+'Muunnokset lin A C'!E42)</f>
        <v>-49.399680491891331</v>
      </c>
      <c r="Z190" s="73">
        <f t="shared" si="67"/>
        <v>-4.9399680491891331</v>
      </c>
    </row>
    <row r="191" spans="2:30" ht="18.75">
      <c r="B191" s="70">
        <v>2100</v>
      </c>
      <c r="C191" s="4">
        <v>8000</v>
      </c>
      <c r="D191" s="114">
        <f t="shared" si="62"/>
        <v>92.024705402787035</v>
      </c>
      <c r="F191" s="44">
        <f>(117/1000)*B191</f>
        <v>245.70000000000002</v>
      </c>
      <c r="H191" s="14">
        <v>0</v>
      </c>
      <c r="J191" s="44">
        <v>11</v>
      </c>
      <c r="L191" s="72">
        <f t="shared" si="63"/>
        <v>66.444385894678376</v>
      </c>
      <c r="N191" s="72">
        <f>(Graafit!V61*'Tuulivoimamelu '!O191)</f>
        <v>0</v>
      </c>
      <c r="O191" s="72">
        <f t="shared" si="64"/>
        <v>-231.11968049189136</v>
      </c>
      <c r="P191" s="73">
        <f t="shared" si="65"/>
        <v>-23.111968049189137</v>
      </c>
      <c r="U191" s="72">
        <f>(Graafit!V121*'Tuulivoimamelu '!V191)</f>
        <v>0</v>
      </c>
      <c r="V191" s="71">
        <f>(O191+'Muunnokset lin A C'!D43)</f>
        <v>-232.21968049189135</v>
      </c>
      <c r="W191" s="73">
        <f t="shared" si="66"/>
        <v>-23.221968049189137</v>
      </c>
      <c r="Y191" s="71">
        <f>(O191+'Muunnokset lin A C'!E43)</f>
        <v>-234.11968049189136</v>
      </c>
      <c r="Z191" s="73">
        <f t="shared" si="67"/>
        <v>-23.411968049189134</v>
      </c>
    </row>
    <row r="192" spans="2:30">
      <c r="D192" s="71"/>
    </row>
    <row r="193" spans="2:30" ht="21">
      <c r="D193" s="71"/>
      <c r="N193" s="76">
        <f>(B181)</f>
        <v>2100</v>
      </c>
      <c r="O193" s="74">
        <f>(10*LOG(10^P181+10^P182+10^P183+10^P184+10^P185+10^P186+10^P187+10^P188+10^P189+10^P190+10^P191))</f>
        <v>57.835760233898405</v>
      </c>
      <c r="P193" s="75" t="s">
        <v>4</v>
      </c>
      <c r="R193" s="80">
        <f>(10*LOG(10^P181+10^P182+10^P183+10^P184+10^P185+10^P186))</f>
        <v>57.83404564318986</v>
      </c>
      <c r="S193" s="81" t="s">
        <v>4</v>
      </c>
      <c r="T193" s="17"/>
      <c r="U193" s="18"/>
      <c r="V193" s="74">
        <f>(10*LOG(10^W181+10^W182+10^W183+10^W184+10^W185+10^W186+10^W187+10^W188+10^W189+10^W190+10^W191))</f>
        <v>27.988356844891324</v>
      </c>
      <c r="W193" s="75" t="s">
        <v>2</v>
      </c>
      <c r="Y193" s="74">
        <f>(10*LOG(10^Z181+10^Z182+10^Z183+10^Z184+10^Z185+10^Z186+10^Z187+10^Z188+10^Z189+10^Z190+10^Z191))</f>
        <v>53.383748220923806</v>
      </c>
      <c r="Z193" s="75" t="s">
        <v>3</v>
      </c>
      <c r="AB193" s="1" t="s">
        <v>39</v>
      </c>
      <c r="AD193" s="83">
        <f>(Y193-V193)</f>
        <v>25.395391376032482</v>
      </c>
    </row>
    <row r="194" spans="2:30">
      <c r="D194" s="71"/>
      <c r="R194" s="20" t="s">
        <v>38</v>
      </c>
      <c r="S194" s="21"/>
      <c r="T194" s="21"/>
      <c r="U194" s="22"/>
    </row>
    <row r="195" spans="2:30">
      <c r="D195" s="71"/>
    </row>
    <row r="196" spans="2:30">
      <c r="D196" s="71"/>
      <c r="N196" t="s">
        <v>70</v>
      </c>
      <c r="U196" t="s">
        <v>70</v>
      </c>
    </row>
    <row r="197" spans="2:30" ht="18.75">
      <c r="B197" s="70">
        <v>2300</v>
      </c>
      <c r="C197" s="58">
        <v>20</v>
      </c>
      <c r="D197" s="114">
        <f>(D39)</f>
        <v>127.32470540278703</v>
      </c>
      <c r="F197" s="44">
        <f>(0.01/1000)*B197</f>
        <v>2.3000000000000003E-2</v>
      </c>
      <c r="H197" s="14">
        <v>5.6</v>
      </c>
      <c r="J197" s="44">
        <v>11</v>
      </c>
      <c r="L197" s="72">
        <f>(20*LOG(B197))</f>
        <v>67.234556720351861</v>
      </c>
      <c r="N197" s="72">
        <f>(Graafit!V62*'Tuulivoimamelu '!O197)</f>
        <v>0</v>
      </c>
      <c r="O197" s="72">
        <f t="shared" ref="O197" si="68">(D197-F197+H197-J197-L197)</f>
        <v>54.667148682435169</v>
      </c>
      <c r="P197" s="73">
        <f>(O197/10)</f>
        <v>5.4667148682435167</v>
      </c>
      <c r="U197" s="72">
        <f>(Graafit!V122*'Tuulivoimamelu '!V197)</f>
        <v>0</v>
      </c>
      <c r="V197" s="82">
        <f>(O197+'Muunnokset lin A C'!D27)</f>
        <v>4.2671486824351703</v>
      </c>
      <c r="W197" s="73">
        <f>(V197/10)</f>
        <v>0.42671486824351701</v>
      </c>
      <c r="Y197" s="71">
        <f>(O197+'Muunnokset lin A C'!E27)</f>
        <v>48.467148682435166</v>
      </c>
      <c r="Z197" s="73">
        <f>(Y197/10)</f>
        <v>4.8467148682435166</v>
      </c>
    </row>
    <row r="198" spans="2:30" ht="18.75">
      <c r="B198" s="70">
        <v>2300</v>
      </c>
      <c r="C198" s="4">
        <v>25</v>
      </c>
      <c r="D198" s="114">
        <f t="shared" ref="D198:D207" si="69">(D40)</f>
        <v>122.92470540278704</v>
      </c>
      <c r="F198" s="44">
        <f>(0.05/1000)*B198</f>
        <v>0.115</v>
      </c>
      <c r="H198" s="14">
        <v>5.4</v>
      </c>
      <c r="J198" s="44">
        <v>11</v>
      </c>
      <c r="L198" s="72">
        <f t="shared" ref="L198:L207" si="70">(20*LOG(B198))</f>
        <v>67.234556720351861</v>
      </c>
      <c r="N198" s="72">
        <f>(Graafit!V62*'Tuulivoimamelu '!O198)</f>
        <v>0</v>
      </c>
      <c r="O198" s="72">
        <f t="shared" ref="O198:O207" si="71">(D198-F198+H198-J198-L198)</f>
        <v>49.97514868243519</v>
      </c>
      <c r="P198" s="73">
        <f t="shared" ref="P198:P207" si="72">(O198/10)</f>
        <v>4.9975148682435186</v>
      </c>
      <c r="U198" s="72">
        <f>(Graafit!V122*'Tuulivoimamelu '!V198)</f>
        <v>0</v>
      </c>
      <c r="V198" s="71">
        <f>(O198+'Muunnokset lin A C'!D28)</f>
        <v>5.1751486824351929</v>
      </c>
      <c r="W198" s="73">
        <f t="shared" ref="W198:W207" si="73">(V198/10)</f>
        <v>0.51751486824351933</v>
      </c>
      <c r="Y198" s="71">
        <f>(O198+'Muunnokset lin A C'!E28)</f>
        <v>45.575148682435191</v>
      </c>
      <c r="Z198" s="73">
        <f t="shared" ref="Z198:Z207" si="74">(Y198/10)</f>
        <v>4.5575148682435191</v>
      </c>
    </row>
    <row r="199" spans="2:30" ht="18.75">
      <c r="B199" s="70">
        <v>2300</v>
      </c>
      <c r="C199" s="4">
        <v>31.5</v>
      </c>
      <c r="D199" s="114">
        <f t="shared" si="69"/>
        <v>121.12470540278704</v>
      </c>
      <c r="F199" s="44">
        <f>(0.08/1000)*B199</f>
        <v>0.18400000000000002</v>
      </c>
      <c r="H199" s="14">
        <v>5.2</v>
      </c>
      <c r="J199" s="44">
        <v>11</v>
      </c>
      <c r="L199" s="72">
        <f t="shared" si="70"/>
        <v>67.234556720351861</v>
      </c>
      <c r="N199" s="72">
        <f>(Graafit!V62*'Tuulivoimamelu '!O199)</f>
        <v>0</v>
      </c>
      <c r="O199" s="72">
        <f t="shared" si="71"/>
        <v>47.906148682435187</v>
      </c>
      <c r="P199" s="73">
        <f t="shared" si="72"/>
        <v>4.7906148682435186</v>
      </c>
      <c r="U199" s="72">
        <f>(Graafit!V122*'Tuulivoimamelu '!V199)</f>
        <v>0</v>
      </c>
      <c r="V199" s="71">
        <f>(O199+'Muunnokset lin A C'!D29)</f>
        <v>8.4061486824351874</v>
      </c>
      <c r="W199" s="73">
        <f t="shared" si="73"/>
        <v>0.84061486824351872</v>
      </c>
      <c r="Y199" s="71">
        <f>(O199+'Muunnokset lin A C'!E29)</f>
        <v>44.906148682435187</v>
      </c>
      <c r="Z199" s="73">
        <f t="shared" si="74"/>
        <v>4.4906148682435187</v>
      </c>
    </row>
    <row r="200" spans="2:30" ht="18.75">
      <c r="B200" s="70">
        <v>2300</v>
      </c>
      <c r="C200" s="4">
        <v>63</v>
      </c>
      <c r="D200" s="114">
        <f t="shared" si="69"/>
        <v>120.52470540278705</v>
      </c>
      <c r="F200" s="44">
        <f>(0.1/1000)*B200</f>
        <v>0.23</v>
      </c>
      <c r="H200" s="14">
        <v>4.3</v>
      </c>
      <c r="J200" s="44">
        <v>11</v>
      </c>
      <c r="L200" s="72">
        <f t="shared" si="70"/>
        <v>67.234556720351861</v>
      </c>
      <c r="N200" s="72">
        <f>(Graafit!V62*'Tuulivoimamelu '!O200)</f>
        <v>0</v>
      </c>
      <c r="O200" s="72">
        <f t="shared" si="71"/>
        <v>46.360148682435181</v>
      </c>
      <c r="P200" s="73">
        <f t="shared" si="72"/>
        <v>4.6360148682435183</v>
      </c>
      <c r="U200" s="72">
        <f>(Graafit!V122*'Tuulivoimamelu '!V200)</f>
        <v>0</v>
      </c>
      <c r="V200" s="71">
        <f>(O200+'Muunnokset lin A C'!D32)</f>
        <v>20.160148682435182</v>
      </c>
      <c r="W200" s="73">
        <f t="shared" si="73"/>
        <v>2.0160148682435182</v>
      </c>
      <c r="Y200" s="71">
        <f>(O200+'Muunnokset lin A C'!E32)</f>
        <v>45.560148682435184</v>
      </c>
      <c r="Z200" s="73">
        <f t="shared" si="74"/>
        <v>4.5560148682435182</v>
      </c>
    </row>
    <row r="201" spans="2:30" ht="18.75">
      <c r="B201" s="70">
        <v>2300</v>
      </c>
      <c r="C201" s="4">
        <v>125</v>
      </c>
      <c r="D201" s="114">
        <f t="shared" si="69"/>
        <v>116.02470540278705</v>
      </c>
      <c r="F201" s="44">
        <f>(0.4/1000)*B201</f>
        <v>0.92</v>
      </c>
      <c r="H201" s="14">
        <v>1.8</v>
      </c>
      <c r="J201" s="44">
        <v>11</v>
      </c>
      <c r="L201" s="72">
        <f t="shared" si="70"/>
        <v>67.234556720351861</v>
      </c>
      <c r="N201" s="72">
        <f>(Graafit!V62*'Tuulivoimamelu '!O201)</f>
        <v>0</v>
      </c>
      <c r="O201" s="72">
        <f t="shared" si="71"/>
        <v>38.670148682435183</v>
      </c>
      <c r="P201" s="73">
        <f t="shared" si="72"/>
        <v>3.8670148682435181</v>
      </c>
      <c r="U201" s="72">
        <f>(Graafit!V122*'Tuulivoimamelu '!V201)</f>
        <v>0</v>
      </c>
      <c r="V201" s="71">
        <f>(O201+'Muunnokset lin A C'!D35)</f>
        <v>22.470148682435184</v>
      </c>
      <c r="W201" s="73">
        <f t="shared" si="73"/>
        <v>2.2470148682435185</v>
      </c>
      <c r="Y201" s="71">
        <f>(O201+'Muunnokset lin A C'!E35)</f>
        <v>38.47014868243518</v>
      </c>
      <c r="Z201" s="73">
        <f t="shared" si="74"/>
        <v>3.8470148682435181</v>
      </c>
    </row>
    <row r="202" spans="2:30" ht="18.75">
      <c r="B202" s="70">
        <v>2300</v>
      </c>
      <c r="C202" s="4">
        <v>250</v>
      </c>
      <c r="D202" s="114">
        <f t="shared" si="69"/>
        <v>109.02470540278703</v>
      </c>
      <c r="F202" s="44">
        <f>(1/1000)*B202</f>
        <v>2.3000000000000003</v>
      </c>
      <c r="H202" s="14">
        <v>-0.5</v>
      </c>
      <c r="J202" s="44">
        <v>11</v>
      </c>
      <c r="L202" s="72">
        <f t="shared" si="70"/>
        <v>67.234556720351861</v>
      </c>
      <c r="N202" s="72">
        <f>(Graafit!V62*'Tuulivoimamelu '!O202)</f>
        <v>0</v>
      </c>
      <c r="O202" s="72">
        <f t="shared" si="71"/>
        <v>27.990148682435176</v>
      </c>
      <c r="P202" s="73">
        <f t="shared" si="72"/>
        <v>2.7990148682435176</v>
      </c>
      <c r="U202" s="72">
        <f>(Graafit!V122*'Tuulivoimamelu '!V202)</f>
        <v>0</v>
      </c>
      <c r="V202" s="71">
        <f>(O202+'Muunnokset lin A C'!D38)</f>
        <v>19.390148682435175</v>
      </c>
      <c r="W202" s="73">
        <f t="shared" si="73"/>
        <v>1.9390148682435175</v>
      </c>
      <c r="Y202" s="71">
        <f>(O202+'Muunnokset lin A C'!E38)</f>
        <v>27.990148682435176</v>
      </c>
      <c r="Z202" s="73">
        <f t="shared" si="74"/>
        <v>2.7990148682435176</v>
      </c>
    </row>
    <row r="203" spans="2:30" ht="18.75">
      <c r="B203" s="70">
        <v>2300</v>
      </c>
      <c r="C203" s="4">
        <v>500</v>
      </c>
      <c r="D203" s="114">
        <f t="shared" si="69"/>
        <v>106.12470540278704</v>
      </c>
      <c r="F203" s="44">
        <f>(1.9/1000)*B203</f>
        <v>4.37</v>
      </c>
      <c r="H203" s="14">
        <v>-3</v>
      </c>
      <c r="J203" s="44">
        <v>11</v>
      </c>
      <c r="L203" s="72">
        <f t="shared" si="70"/>
        <v>67.234556720351861</v>
      </c>
      <c r="N203" s="72">
        <f>(Graafit!V62*'Tuulivoimamelu '!O203)</f>
        <v>0</v>
      </c>
      <c r="O203" s="72">
        <f t="shared" si="71"/>
        <v>20.520148682435178</v>
      </c>
      <c r="P203" s="73">
        <f t="shared" si="72"/>
        <v>2.0520148682435178</v>
      </c>
      <c r="U203" s="72">
        <f>(Graafit!V122*'Tuulivoimamelu '!V203)</f>
        <v>0</v>
      </c>
      <c r="V203" s="71">
        <f>(O203+'Muunnokset lin A C'!D39)</f>
        <v>17.320148682435178</v>
      </c>
      <c r="W203" s="73">
        <f t="shared" si="73"/>
        <v>1.7320148682435179</v>
      </c>
      <c r="Y203" s="71">
        <f>(O203+'Muunnokset lin A C'!E39)</f>
        <v>20.520148682435178</v>
      </c>
      <c r="Z203" s="73">
        <f t="shared" si="74"/>
        <v>2.0520148682435178</v>
      </c>
    </row>
    <row r="204" spans="2:30" ht="18.75">
      <c r="B204" s="70">
        <v>2300</v>
      </c>
      <c r="C204" s="4">
        <v>1000</v>
      </c>
      <c r="D204" s="114">
        <f t="shared" si="69"/>
        <v>105.72470540278704</v>
      </c>
      <c r="F204" s="44">
        <f>(3.7/1000)*B204</f>
        <v>8.51</v>
      </c>
      <c r="H204" s="14">
        <v>-1</v>
      </c>
      <c r="J204" s="44">
        <v>11</v>
      </c>
      <c r="L204" s="72">
        <f t="shared" si="70"/>
        <v>67.234556720351861</v>
      </c>
      <c r="N204" s="72">
        <f>(Graafit!V62*'Tuulivoimamelu '!O204)</f>
        <v>0</v>
      </c>
      <c r="O204" s="72">
        <f t="shared" si="71"/>
        <v>17.980148682435171</v>
      </c>
      <c r="P204" s="73">
        <f t="shared" si="72"/>
        <v>1.7980148682435171</v>
      </c>
      <c r="U204" s="72">
        <f>(Graafit!V122*'Tuulivoimamelu '!V204)</f>
        <v>0</v>
      </c>
      <c r="V204" s="71">
        <f>(O204+'Muunnokset lin A C'!D40)</f>
        <v>17.980148682435171</v>
      </c>
      <c r="W204" s="73">
        <f t="shared" si="73"/>
        <v>1.7980148682435171</v>
      </c>
      <c r="Y204" s="71">
        <f>(O204+'Muunnokset lin A C'!E40)</f>
        <v>17.980148682435171</v>
      </c>
      <c r="Z204" s="73">
        <f t="shared" si="74"/>
        <v>1.7980148682435171</v>
      </c>
    </row>
    <row r="205" spans="2:30" ht="18.75">
      <c r="B205" s="70">
        <v>2300</v>
      </c>
      <c r="C205" s="4">
        <v>2000</v>
      </c>
      <c r="D205" s="114">
        <f t="shared" si="69"/>
        <v>102.42470540278704</v>
      </c>
      <c r="F205" s="44">
        <f>(9.7/1000)*B205</f>
        <v>22.309999999999995</v>
      </c>
      <c r="H205" s="14">
        <v>0</v>
      </c>
      <c r="J205" s="44">
        <v>11</v>
      </c>
      <c r="L205" s="72">
        <f t="shared" si="70"/>
        <v>67.234556720351861</v>
      </c>
      <c r="N205" s="72">
        <f>(Graafit!V62*'Tuulivoimamelu '!O205)</f>
        <v>0</v>
      </c>
      <c r="O205" s="72">
        <f t="shared" si="71"/>
        <v>1.8801486824351912</v>
      </c>
      <c r="P205" s="73">
        <f t="shared" si="72"/>
        <v>0.18801486824351912</v>
      </c>
      <c r="U205" s="72">
        <f>(Graafit!V122*'Tuulivoimamelu '!V205)</f>
        <v>0</v>
      </c>
      <c r="V205" s="71">
        <f>(O205+'Muunnokset lin A C'!D41)</f>
        <v>3.0801486824351914</v>
      </c>
      <c r="W205" s="73">
        <f t="shared" si="73"/>
        <v>0.30801486824351915</v>
      </c>
      <c r="Y205" s="71">
        <f>(O205+'Muunnokset lin A C'!E41)</f>
        <v>1.6801486824351912</v>
      </c>
      <c r="Z205" s="73">
        <f t="shared" si="74"/>
        <v>0.16801486824351913</v>
      </c>
    </row>
    <row r="206" spans="2:30" ht="18.75">
      <c r="B206" s="70">
        <v>2300</v>
      </c>
      <c r="C206" s="4">
        <v>4000</v>
      </c>
      <c r="D206" s="114">
        <f t="shared" si="69"/>
        <v>97.724705402787038</v>
      </c>
      <c r="F206" s="44">
        <f>(32.8/1000)*B206</f>
        <v>75.439999999999984</v>
      </c>
      <c r="H206" s="14">
        <v>0</v>
      </c>
      <c r="J206" s="44">
        <v>11</v>
      </c>
      <c r="L206" s="72">
        <f t="shared" si="70"/>
        <v>67.234556720351861</v>
      </c>
      <c r="N206" s="72">
        <f>(Graafit!V62*'Tuulivoimamelu '!O206)</f>
        <v>0</v>
      </c>
      <c r="O206" s="72">
        <f t="shared" si="71"/>
        <v>-55.949851317564807</v>
      </c>
      <c r="P206" s="73">
        <f t="shared" si="72"/>
        <v>-5.5949851317564807</v>
      </c>
      <c r="U206" s="72">
        <f>(Graafit!V122*'Tuulivoimamelu '!V206)</f>
        <v>0</v>
      </c>
      <c r="V206" s="71">
        <f>(O206+'Muunnokset lin A C'!D42)</f>
        <v>-54.949851317564807</v>
      </c>
      <c r="W206" s="73">
        <f t="shared" si="73"/>
        <v>-5.4949851317564811</v>
      </c>
      <c r="Y206" s="71">
        <f>(O206+'Muunnokset lin A C'!E42)</f>
        <v>-56.749851317564804</v>
      </c>
      <c r="Z206" s="73">
        <f t="shared" si="74"/>
        <v>-5.6749851317564808</v>
      </c>
    </row>
    <row r="207" spans="2:30" ht="18.75">
      <c r="B207" s="70">
        <v>2300</v>
      </c>
      <c r="C207" s="4">
        <v>8000</v>
      </c>
      <c r="D207" s="114">
        <f t="shared" si="69"/>
        <v>92.024705402787035</v>
      </c>
      <c r="F207" s="44">
        <f>(117/1000)*B207</f>
        <v>269.10000000000002</v>
      </c>
      <c r="H207" s="14">
        <v>0</v>
      </c>
      <c r="J207" s="44">
        <v>11</v>
      </c>
      <c r="L207" s="72">
        <f t="shared" si="70"/>
        <v>67.234556720351861</v>
      </c>
      <c r="N207" s="72">
        <f>(Graafit!V62*'Tuulivoimamelu '!O207)</f>
        <v>0</v>
      </c>
      <c r="O207" s="72">
        <f t="shared" si="71"/>
        <v>-255.30985131756483</v>
      </c>
      <c r="P207" s="73">
        <f t="shared" si="72"/>
        <v>-25.530985131756484</v>
      </c>
      <c r="U207" s="72">
        <f>(Graafit!V122*'Tuulivoimamelu '!V207)</f>
        <v>0</v>
      </c>
      <c r="V207" s="71">
        <f>(O207+'Muunnokset lin A C'!D43)</f>
        <v>-256.40985131756486</v>
      </c>
      <c r="W207" s="73">
        <f t="shared" si="73"/>
        <v>-25.640985131756487</v>
      </c>
      <c r="Y207" s="71">
        <f>(O207+'Muunnokset lin A C'!E43)</f>
        <v>-258.30985131756483</v>
      </c>
      <c r="Z207" s="73">
        <f t="shared" si="74"/>
        <v>-25.830985131756485</v>
      </c>
    </row>
    <row r="208" spans="2:30">
      <c r="D208" s="71"/>
    </row>
    <row r="209" spans="2:30" ht="21">
      <c r="D209" s="71"/>
      <c r="N209" s="76">
        <f>(B197)</f>
        <v>2300</v>
      </c>
      <c r="O209" s="74">
        <f>(10*LOG(10^P197+10^P198+10^P199+10^P200+10^P201+10^P202+10^P203+10^P204+10^P205+10^P206+10^P207))</f>
        <v>57.037168820623343</v>
      </c>
      <c r="P209" s="75" t="s">
        <v>4</v>
      </c>
      <c r="R209" s="80">
        <f>(10*LOG(10^P197+10^P198+10^P199+10^P200+10^P201+10^P202))</f>
        <v>57.035647233930035</v>
      </c>
      <c r="S209" s="81" t="s">
        <v>4</v>
      </c>
      <c r="T209" s="17"/>
      <c r="U209" s="18"/>
      <c r="V209" s="74">
        <f>(10*LOG(10^W197+10^W198+10^W199+10^W200+10^W201+10^W202+10^W203+10^W204+10^W205+10^W206+10^W207))</f>
        <v>26.980573279840346</v>
      </c>
      <c r="W209" s="75" t="s">
        <v>2</v>
      </c>
      <c r="Y209" s="74">
        <f>(10*LOG(10^Z197+10^Z198+10^Z199+10^Z200+10^Z201+10^Z202+10^Z203+10^Z204+10^Z205+10^Z206+10^Z207))</f>
        <v>52.579714998663377</v>
      </c>
      <c r="Z209" s="75" t="s">
        <v>3</v>
      </c>
      <c r="AB209" s="1" t="s">
        <v>39</v>
      </c>
      <c r="AD209" s="83">
        <f>(Y209-V209)</f>
        <v>25.599141718823031</v>
      </c>
    </row>
    <row r="210" spans="2:30">
      <c r="D210" s="71"/>
      <c r="R210" s="20" t="s">
        <v>38</v>
      </c>
      <c r="S210" s="21"/>
      <c r="T210" s="21"/>
      <c r="U210" s="22"/>
    </row>
    <row r="211" spans="2:30">
      <c r="D211" s="71"/>
    </row>
    <row r="212" spans="2:30">
      <c r="D212" s="71"/>
      <c r="N212" t="s">
        <v>70</v>
      </c>
      <c r="U212" t="s">
        <v>70</v>
      </c>
    </row>
    <row r="213" spans="2:30" ht="18.75">
      <c r="B213" s="70">
        <v>2500</v>
      </c>
      <c r="C213" s="58">
        <v>20</v>
      </c>
      <c r="D213" s="114">
        <f>(D39)</f>
        <v>127.32470540278703</v>
      </c>
      <c r="F213" s="44">
        <f>(0.01/1000)*B213</f>
        <v>2.5000000000000001E-2</v>
      </c>
      <c r="H213" s="14">
        <v>5.6</v>
      </c>
      <c r="J213" s="44">
        <v>11</v>
      </c>
      <c r="L213" s="72">
        <f>(20*LOG(B213))</f>
        <v>67.95880017344075</v>
      </c>
      <c r="N213" s="72">
        <f>(Graafit!V63*'Tuulivoimamelu '!O213)</f>
        <v>0</v>
      </c>
      <c r="O213" s="72">
        <f t="shared" ref="O213" si="75">(D213-F213+H213-J213-L213)</f>
        <v>53.940905229346271</v>
      </c>
      <c r="P213" s="73">
        <f>(O213/10)</f>
        <v>5.3940905229346274</v>
      </c>
      <c r="U213" s="72">
        <f>(Graafit!V123*'Tuulivoimamelu '!V213)</f>
        <v>0</v>
      </c>
      <c r="V213" s="82">
        <f>(O213+'Muunnokset lin A C'!D27)</f>
        <v>3.5409052293462722</v>
      </c>
      <c r="W213" s="73">
        <f>(V213/10)</f>
        <v>0.35409052293462723</v>
      </c>
      <c r="Y213" s="71">
        <f>(O213+'Muunnokset lin A C'!E27)</f>
        <v>47.740905229346268</v>
      </c>
      <c r="Z213" s="73">
        <f>(Y213/10)</f>
        <v>4.7740905229346264</v>
      </c>
    </row>
    <row r="214" spans="2:30" ht="18.75">
      <c r="B214" s="70">
        <v>2500</v>
      </c>
      <c r="C214" s="4">
        <v>25</v>
      </c>
      <c r="D214" s="114">
        <f t="shared" ref="D214:D223" si="76">(D40)</f>
        <v>122.92470540278704</v>
      </c>
      <c r="F214" s="44">
        <f>(0.05/1000)*B214</f>
        <v>0.125</v>
      </c>
      <c r="H214" s="14">
        <v>5.4</v>
      </c>
      <c r="J214" s="44">
        <v>11</v>
      </c>
      <c r="L214" s="72">
        <f t="shared" ref="L214:L223" si="77">(20*LOG(B214))</f>
        <v>67.95880017344075</v>
      </c>
      <c r="N214" s="72">
        <f>(Graafit!V63*'Tuulivoimamelu '!O214)</f>
        <v>0</v>
      </c>
      <c r="O214" s="72">
        <f t="shared" ref="O214:O223" si="78">(D214-F214+H214-J214-L214)</f>
        <v>49.240905229346282</v>
      </c>
      <c r="P214" s="73">
        <f t="shared" ref="P214:P223" si="79">(O214/10)</f>
        <v>4.9240905229346286</v>
      </c>
      <c r="U214" s="72">
        <f>(Graafit!V123*'Tuulivoimamelu '!V214)</f>
        <v>0</v>
      </c>
      <c r="V214" s="71">
        <f>(O214+'Muunnokset lin A C'!D28)</f>
        <v>4.440905229346285</v>
      </c>
      <c r="W214" s="73">
        <f t="shared" ref="W214:W223" si="80">(V214/10)</f>
        <v>0.44409052293462847</v>
      </c>
      <c r="Y214" s="71">
        <f>(O214+'Muunnokset lin A C'!E28)</f>
        <v>44.840905229346284</v>
      </c>
      <c r="Z214" s="73">
        <f t="shared" ref="Z214:Z223" si="81">(Y214/10)</f>
        <v>4.4840905229346282</v>
      </c>
    </row>
    <row r="215" spans="2:30" ht="18.75">
      <c r="B215" s="70">
        <v>2500</v>
      </c>
      <c r="C215" s="4">
        <v>31.5</v>
      </c>
      <c r="D215" s="114">
        <f t="shared" si="76"/>
        <v>121.12470540278704</v>
      </c>
      <c r="F215" s="44">
        <f>(0.08/1000)*B215</f>
        <v>0.2</v>
      </c>
      <c r="H215" s="14">
        <v>5.2</v>
      </c>
      <c r="J215" s="44">
        <v>11</v>
      </c>
      <c r="L215" s="72">
        <f t="shared" si="77"/>
        <v>67.95880017344075</v>
      </c>
      <c r="N215" s="72">
        <f>(Graafit!V63*'Tuulivoimamelu '!O215)</f>
        <v>0</v>
      </c>
      <c r="O215" s="72">
        <f t="shared" si="78"/>
        <v>47.165905229346293</v>
      </c>
      <c r="P215" s="73">
        <f t="shared" si="79"/>
        <v>4.716590522934629</v>
      </c>
      <c r="U215" s="72">
        <f>(Graafit!V123*'Tuulivoimamelu '!V215)</f>
        <v>0</v>
      </c>
      <c r="V215" s="71">
        <f>(O215+'Muunnokset lin A C'!D29)</f>
        <v>7.6659052293462935</v>
      </c>
      <c r="W215" s="73">
        <f t="shared" si="80"/>
        <v>0.76659052293462937</v>
      </c>
      <c r="Y215" s="71">
        <f>(O215+'Muunnokset lin A C'!E29)</f>
        <v>44.165905229346293</v>
      </c>
      <c r="Z215" s="73">
        <f t="shared" si="81"/>
        <v>4.4165905229346292</v>
      </c>
    </row>
    <row r="216" spans="2:30" ht="18.75">
      <c r="B216" s="70">
        <v>2500</v>
      </c>
      <c r="C216" s="4">
        <v>63</v>
      </c>
      <c r="D216" s="114">
        <f t="shared" si="76"/>
        <v>120.52470540278705</v>
      </c>
      <c r="F216" s="44">
        <f>(0.1/1000)*B216</f>
        <v>0.25</v>
      </c>
      <c r="H216" s="14">
        <v>4.3</v>
      </c>
      <c r="J216" s="44">
        <v>11</v>
      </c>
      <c r="L216" s="72">
        <f t="shared" si="77"/>
        <v>67.95880017344075</v>
      </c>
      <c r="N216" s="72">
        <f>(Graafit!V63*'Tuulivoimamelu '!O216)</f>
        <v>0</v>
      </c>
      <c r="O216" s="72">
        <f t="shared" si="78"/>
        <v>45.615905229346296</v>
      </c>
      <c r="P216" s="73">
        <f t="shared" si="79"/>
        <v>4.5615905229346296</v>
      </c>
      <c r="U216" s="72">
        <f>(Graafit!V123*'Tuulivoimamelu '!V216)</f>
        <v>0</v>
      </c>
      <c r="V216" s="71">
        <f>(O216+'Muunnokset lin A C'!D32)</f>
        <v>19.415905229346297</v>
      </c>
      <c r="W216" s="73">
        <f t="shared" si="80"/>
        <v>1.9415905229346297</v>
      </c>
      <c r="Y216" s="71">
        <f>(O216+'Muunnokset lin A C'!E32)</f>
        <v>44.815905229346299</v>
      </c>
      <c r="Z216" s="73">
        <f t="shared" si="81"/>
        <v>4.4815905229346296</v>
      </c>
    </row>
    <row r="217" spans="2:30" ht="18.75">
      <c r="B217" s="70">
        <v>2500</v>
      </c>
      <c r="C217" s="4">
        <v>125</v>
      </c>
      <c r="D217" s="114">
        <f t="shared" si="76"/>
        <v>116.02470540278705</v>
      </c>
      <c r="F217" s="44">
        <f>(0.4/1000)*B217</f>
        <v>1</v>
      </c>
      <c r="H217" s="14">
        <v>1.8</v>
      </c>
      <c r="J217" s="44">
        <v>11</v>
      </c>
      <c r="L217" s="72">
        <f t="shared" si="77"/>
        <v>67.95880017344075</v>
      </c>
      <c r="N217" s="72">
        <f>(Graafit!V63*'Tuulivoimamelu '!O217)</f>
        <v>0</v>
      </c>
      <c r="O217" s="72">
        <f t="shared" si="78"/>
        <v>37.865905229346296</v>
      </c>
      <c r="P217" s="73">
        <f t="shared" si="79"/>
        <v>3.7865905229346297</v>
      </c>
      <c r="U217" s="72">
        <f>(Graafit!V123*'Tuulivoimamelu '!V217)</f>
        <v>0</v>
      </c>
      <c r="V217" s="71">
        <f>(O217+'Muunnokset lin A C'!D35)</f>
        <v>21.665905229346297</v>
      </c>
      <c r="W217" s="73">
        <f t="shared" si="80"/>
        <v>2.1665905229346296</v>
      </c>
      <c r="Y217" s="71">
        <f>(O217+'Muunnokset lin A C'!E35)</f>
        <v>37.665905229346293</v>
      </c>
      <c r="Z217" s="73">
        <f t="shared" si="81"/>
        <v>3.7665905229346293</v>
      </c>
    </row>
    <row r="218" spans="2:30" ht="18.75">
      <c r="B218" s="70">
        <v>2500</v>
      </c>
      <c r="C218" s="4">
        <v>250</v>
      </c>
      <c r="D218" s="114">
        <f t="shared" si="76"/>
        <v>109.02470540278703</v>
      </c>
      <c r="F218" s="44">
        <f>(1/1000)*B218</f>
        <v>2.5</v>
      </c>
      <c r="H218" s="14">
        <v>-0.5</v>
      </c>
      <c r="J218" s="44">
        <v>11</v>
      </c>
      <c r="L218" s="72">
        <f t="shared" si="77"/>
        <v>67.95880017344075</v>
      </c>
      <c r="N218" s="72">
        <f>(Graafit!V63*'Tuulivoimamelu '!O218)</f>
        <v>0</v>
      </c>
      <c r="O218" s="72">
        <f t="shared" si="78"/>
        <v>27.065905229346285</v>
      </c>
      <c r="P218" s="73">
        <f t="shared" si="79"/>
        <v>2.7065905229346283</v>
      </c>
      <c r="U218" s="72">
        <f>(Graafit!V123*'Tuulivoimamelu '!V218)</f>
        <v>0</v>
      </c>
      <c r="V218" s="71">
        <f>(O218+'Muunnokset lin A C'!D38)</f>
        <v>18.465905229346284</v>
      </c>
      <c r="W218" s="73">
        <f t="shared" si="80"/>
        <v>1.8465905229346284</v>
      </c>
      <c r="Y218" s="71">
        <f>(O218+'Muunnokset lin A C'!E38)</f>
        <v>27.065905229346285</v>
      </c>
      <c r="Z218" s="73">
        <f t="shared" si="81"/>
        <v>2.7065905229346283</v>
      </c>
    </row>
    <row r="219" spans="2:30" ht="18.75">
      <c r="B219" s="70">
        <v>2500</v>
      </c>
      <c r="C219" s="4">
        <v>500</v>
      </c>
      <c r="D219" s="114">
        <f t="shared" si="76"/>
        <v>106.12470540278704</v>
      </c>
      <c r="F219" s="44">
        <f>(1.9/1000)*B219</f>
        <v>4.75</v>
      </c>
      <c r="H219" s="14">
        <v>-3</v>
      </c>
      <c r="J219" s="44">
        <v>11</v>
      </c>
      <c r="L219" s="72">
        <f t="shared" si="77"/>
        <v>67.95880017344075</v>
      </c>
      <c r="N219" s="72">
        <f>(Graafit!V63*'Tuulivoimamelu '!O219)</f>
        <v>0</v>
      </c>
      <c r="O219" s="72">
        <f t="shared" si="78"/>
        <v>19.415905229346293</v>
      </c>
      <c r="P219" s="73">
        <f t="shared" si="79"/>
        <v>1.9415905229346293</v>
      </c>
      <c r="U219" s="72">
        <f>(Graafit!V123*'Tuulivoimamelu '!V219)</f>
        <v>0</v>
      </c>
      <c r="V219" s="71">
        <f>(O219+'Muunnokset lin A C'!D39)</f>
        <v>16.215905229346294</v>
      </c>
      <c r="W219" s="73">
        <f t="shared" si="80"/>
        <v>1.6215905229346295</v>
      </c>
      <c r="Y219" s="71">
        <f>(O219+'Muunnokset lin A C'!E39)</f>
        <v>19.415905229346293</v>
      </c>
      <c r="Z219" s="73">
        <f t="shared" si="81"/>
        <v>1.9415905229346293</v>
      </c>
    </row>
    <row r="220" spans="2:30" ht="18.75">
      <c r="B220" s="70">
        <v>2500</v>
      </c>
      <c r="C220" s="4">
        <v>1000</v>
      </c>
      <c r="D220" s="114">
        <f t="shared" si="76"/>
        <v>105.72470540278704</v>
      </c>
      <c r="F220" s="44">
        <f>(3.7/1000)*B220</f>
        <v>9.25</v>
      </c>
      <c r="H220" s="14">
        <v>-1</v>
      </c>
      <c r="J220" s="44">
        <v>11</v>
      </c>
      <c r="L220" s="72">
        <f t="shared" si="77"/>
        <v>67.95880017344075</v>
      </c>
      <c r="N220" s="72">
        <f>(Graafit!V63*'Tuulivoimamelu '!O220)</f>
        <v>0</v>
      </c>
      <c r="O220" s="72">
        <f t="shared" si="78"/>
        <v>16.515905229346288</v>
      </c>
      <c r="P220" s="73">
        <f t="shared" si="79"/>
        <v>1.6515905229346288</v>
      </c>
      <c r="U220" s="72">
        <f>(Graafit!V123*'Tuulivoimamelu '!V220)</f>
        <v>0</v>
      </c>
      <c r="V220" s="71">
        <f>(O220+'Muunnokset lin A C'!D40)</f>
        <v>16.515905229346288</v>
      </c>
      <c r="W220" s="73">
        <f t="shared" si="80"/>
        <v>1.6515905229346288</v>
      </c>
      <c r="Y220" s="71">
        <f>(O220+'Muunnokset lin A C'!E40)</f>
        <v>16.515905229346288</v>
      </c>
      <c r="Z220" s="73">
        <f t="shared" si="81"/>
        <v>1.6515905229346288</v>
      </c>
    </row>
    <row r="221" spans="2:30" ht="18.75">
      <c r="B221" s="70">
        <v>2500</v>
      </c>
      <c r="C221" s="4">
        <v>2000</v>
      </c>
      <c r="D221" s="114">
        <f t="shared" si="76"/>
        <v>102.42470540278704</v>
      </c>
      <c r="F221" s="44">
        <f>(9.7/1000)*B221</f>
        <v>24.249999999999996</v>
      </c>
      <c r="H221" s="14">
        <v>0</v>
      </c>
      <c r="J221" s="44">
        <v>11</v>
      </c>
      <c r="L221" s="72">
        <f t="shared" si="77"/>
        <v>67.95880017344075</v>
      </c>
      <c r="N221" s="72">
        <f>(Graafit!V63*'Tuulivoimamelu '!O221)</f>
        <v>0</v>
      </c>
      <c r="O221" s="72">
        <f t="shared" si="78"/>
        <v>-0.78409477065370936</v>
      </c>
      <c r="P221" s="73">
        <f t="shared" si="79"/>
        <v>-7.8409477065370936E-2</v>
      </c>
      <c r="U221" s="72">
        <f>(Graafit!V123*'Tuulivoimamelu '!V221)</f>
        <v>0</v>
      </c>
      <c r="V221" s="71">
        <f>(O221+'Muunnokset lin A C'!D41)</f>
        <v>0.41590522934629059</v>
      </c>
      <c r="W221" s="73">
        <f t="shared" si="80"/>
        <v>4.1590522934629059E-2</v>
      </c>
      <c r="Y221" s="71">
        <f>(O221+'Muunnokset lin A C'!E41)</f>
        <v>-0.98409477065370932</v>
      </c>
      <c r="Z221" s="73">
        <f t="shared" si="81"/>
        <v>-9.8409477065370926E-2</v>
      </c>
    </row>
    <row r="222" spans="2:30" ht="18.75">
      <c r="B222" s="70">
        <v>2500</v>
      </c>
      <c r="C222" s="4">
        <v>4000</v>
      </c>
      <c r="D222" s="114">
        <f t="shared" si="76"/>
        <v>97.724705402787038</v>
      </c>
      <c r="F222" s="44">
        <f>(32.8/1000)*B222</f>
        <v>81.999999999999986</v>
      </c>
      <c r="H222" s="14">
        <v>0</v>
      </c>
      <c r="J222" s="44">
        <v>11</v>
      </c>
      <c r="L222" s="72">
        <f t="shared" si="77"/>
        <v>67.95880017344075</v>
      </c>
      <c r="N222" s="72">
        <f>(Graafit!V63*'Tuulivoimamelu '!O222)</f>
        <v>0</v>
      </c>
      <c r="O222" s="72">
        <f t="shared" si="78"/>
        <v>-63.234094770653698</v>
      </c>
      <c r="P222" s="73">
        <f t="shared" si="79"/>
        <v>-6.3234094770653702</v>
      </c>
      <c r="U222" s="72">
        <f>(Graafit!V123*'Tuulivoimamelu '!V222)</f>
        <v>0</v>
      </c>
      <c r="V222" s="71">
        <f>(O222+'Muunnokset lin A C'!D42)</f>
        <v>-62.234094770653698</v>
      </c>
      <c r="W222" s="73">
        <f t="shared" si="80"/>
        <v>-6.2234094770653696</v>
      </c>
      <c r="Y222" s="71">
        <f>(O222+'Muunnokset lin A C'!E42)</f>
        <v>-64.034094770653695</v>
      </c>
      <c r="Z222" s="73">
        <f t="shared" si="81"/>
        <v>-6.4034094770653693</v>
      </c>
    </row>
    <row r="223" spans="2:30" ht="18.75">
      <c r="B223" s="70">
        <v>2500</v>
      </c>
      <c r="C223" s="4">
        <v>8000</v>
      </c>
      <c r="D223" s="114">
        <f t="shared" si="76"/>
        <v>92.024705402787035</v>
      </c>
      <c r="F223" s="44">
        <f>(117/1000)*B223</f>
        <v>292.5</v>
      </c>
      <c r="H223" s="14">
        <v>0</v>
      </c>
      <c r="J223" s="44">
        <v>11</v>
      </c>
      <c r="L223" s="72">
        <f t="shared" si="77"/>
        <v>67.95880017344075</v>
      </c>
      <c r="N223" s="72">
        <f>(Graafit!V64*'Tuulivoimamelu '!O223)</f>
        <v>0</v>
      </c>
      <c r="O223" s="72">
        <f t="shared" si="78"/>
        <v>-279.4340947706537</v>
      </c>
      <c r="P223" s="73">
        <f t="shared" si="79"/>
        <v>-27.943409477065369</v>
      </c>
      <c r="U223" s="72">
        <f>(Graafit!V124*'Tuulivoimamelu '!V223)</f>
        <v>0</v>
      </c>
      <c r="V223" s="71">
        <f>(O223+'Muunnokset lin A C'!D43)</f>
        <v>-280.53409477065372</v>
      </c>
      <c r="W223" s="73">
        <f t="shared" si="80"/>
        <v>-28.053409477065372</v>
      </c>
      <c r="Y223" s="71">
        <f>(O223+'Muunnokset lin A C'!E43)</f>
        <v>-282.4340947706537</v>
      </c>
      <c r="Z223" s="73">
        <f t="shared" si="81"/>
        <v>-28.24340947706537</v>
      </c>
    </row>
    <row r="224" spans="2:30">
      <c r="D224" s="71"/>
    </row>
    <row r="225" spans="2:30" ht="21">
      <c r="D225" s="71"/>
      <c r="N225" s="76">
        <f>(B213)</f>
        <v>2500</v>
      </c>
      <c r="O225" s="74">
        <f>(10*LOG(10^P213+10^P214+10^P215+10^P216+10^P217+10^P218+10^P219+10^P220+10^P221+10^P222+10^P223))</f>
        <v>56.304567465478534</v>
      </c>
      <c r="P225" s="75" t="s">
        <v>4</v>
      </c>
      <c r="R225" s="80">
        <f>(10*LOG(10^P213+10^P214+10^P215+10^P216+10^P217+10^P218))</f>
        <v>56.303213779989811</v>
      </c>
      <c r="S225" s="81" t="s">
        <v>4</v>
      </c>
      <c r="T225" s="17"/>
      <c r="U225" s="18"/>
      <c r="V225" s="74">
        <f>(10*LOG(10^W213+10^W214+10^W215+10^W216+10^W217+10^W218+10^W219+10^W220+10^W221+10^W222+10^W223))</f>
        <v>26.053765046815336</v>
      </c>
      <c r="W225" s="75" t="s">
        <v>2</v>
      </c>
      <c r="Y225" s="74">
        <f>(10*LOG(10^Z213+10^Z214+10^Z215+10^Z216+10^Z217+10^Z218+10^Z219+10^Z220+10^Z221+10^Z222+10^Z223))</f>
        <v>51.841759615472604</v>
      </c>
      <c r="Z225" s="75" t="s">
        <v>3</v>
      </c>
      <c r="AB225" s="1" t="s">
        <v>39</v>
      </c>
      <c r="AD225" s="83">
        <f>(Y225-V225)</f>
        <v>25.787994568657268</v>
      </c>
    </row>
    <row r="226" spans="2:30">
      <c r="D226" s="71"/>
      <c r="R226" s="20" t="s">
        <v>38</v>
      </c>
      <c r="S226" s="21"/>
      <c r="T226" s="21"/>
      <c r="U226" s="22"/>
    </row>
    <row r="227" spans="2:30">
      <c r="D227" s="71"/>
    </row>
    <row r="228" spans="2:30">
      <c r="D228" s="71"/>
      <c r="N228" t="s">
        <v>70</v>
      </c>
      <c r="U228" t="s">
        <v>70</v>
      </c>
    </row>
    <row r="229" spans="2:30" ht="18.75">
      <c r="B229" s="70">
        <v>2700</v>
      </c>
      <c r="C229" s="58">
        <v>20</v>
      </c>
      <c r="D229" s="114">
        <f>(D39)</f>
        <v>127.32470540278703</v>
      </c>
      <c r="F229" s="44">
        <f>(0.01/1000)*B229</f>
        <v>2.7000000000000003E-2</v>
      </c>
      <c r="H229" s="14">
        <v>5.6</v>
      </c>
      <c r="J229" s="44">
        <v>11</v>
      </c>
      <c r="L229" s="72">
        <f>(20*LOG(B229))</f>
        <v>68.627275283179742</v>
      </c>
      <c r="N229" s="72">
        <f>(Graafit!V64*'Tuulivoimamelu '!O229)</f>
        <v>0</v>
      </c>
      <c r="O229" s="72">
        <f t="shared" ref="O229" si="82">(D229-F229+H229-J229-L229)</f>
        <v>53.270430119607298</v>
      </c>
      <c r="P229" s="73">
        <f>(O229/10)</f>
        <v>5.3270430119607299</v>
      </c>
      <c r="U229" s="72">
        <f>(Graafit!V124*'Tuulivoimamelu '!V229)</f>
        <v>0</v>
      </c>
      <c r="V229" s="82">
        <f>(O229+'Muunnokset lin A C'!D27)</f>
        <v>2.870430119607299</v>
      </c>
      <c r="W229" s="73">
        <f>(V229/10)</f>
        <v>0.2870430119607299</v>
      </c>
      <c r="Y229" s="71">
        <f>(O229+'Muunnokset lin A C'!E27)</f>
        <v>47.070430119607295</v>
      </c>
      <c r="Z229" s="73">
        <f>(Y229/10)</f>
        <v>4.7070430119607298</v>
      </c>
    </row>
    <row r="230" spans="2:30" ht="18.75">
      <c r="B230" s="70">
        <v>2700</v>
      </c>
      <c r="C230" s="4">
        <v>25</v>
      </c>
      <c r="D230" s="114">
        <f t="shared" ref="D230:D239" si="83">(D40)</f>
        <v>122.92470540278704</v>
      </c>
      <c r="F230" s="44">
        <f>(0.05/1000)*B230</f>
        <v>0.13500000000000001</v>
      </c>
      <c r="H230" s="14">
        <v>5.4</v>
      </c>
      <c r="J230" s="44">
        <v>11</v>
      </c>
      <c r="L230" s="72">
        <f t="shared" ref="L230:L239" si="84">(20*LOG(B230))</f>
        <v>68.627275283179742</v>
      </c>
      <c r="N230" s="72">
        <f>(Graafit!V64*'Tuulivoimamelu '!O230)</f>
        <v>0</v>
      </c>
      <c r="O230" s="72">
        <f t="shared" ref="O230:O239" si="85">(D230-F230+H230-J230-L230)</f>
        <v>48.562430119607299</v>
      </c>
      <c r="P230" s="73">
        <f t="shared" ref="P230:P239" si="86">(O230/10)</f>
        <v>4.8562430119607303</v>
      </c>
      <c r="U230" s="72">
        <f>(Graafit!V124*'Tuulivoimamelu '!V230)</f>
        <v>0</v>
      </c>
      <c r="V230" s="71">
        <f>(O230+'Muunnokset lin A C'!D28)</f>
        <v>3.762430119607302</v>
      </c>
      <c r="W230" s="73">
        <f t="shared" ref="W230:W239" si="87">(V230/10)</f>
        <v>0.37624301196073018</v>
      </c>
      <c r="Y230" s="71">
        <f>(O230+'Muunnokset lin A C'!E28)</f>
        <v>44.162430119607301</v>
      </c>
      <c r="Z230" s="73">
        <f t="shared" ref="Z230:Z239" si="88">(Y230/10)</f>
        <v>4.4162430119607299</v>
      </c>
    </row>
    <row r="231" spans="2:30" ht="18.75">
      <c r="B231" s="70">
        <v>2700</v>
      </c>
      <c r="C231" s="4">
        <v>31.5</v>
      </c>
      <c r="D231" s="114">
        <f t="shared" si="83"/>
        <v>121.12470540278704</v>
      </c>
      <c r="F231" s="44">
        <f>(0.08/1000)*B231</f>
        <v>0.21600000000000003</v>
      </c>
      <c r="H231" s="14">
        <v>5.2</v>
      </c>
      <c r="J231" s="44">
        <v>11</v>
      </c>
      <c r="L231" s="72">
        <f t="shared" si="84"/>
        <v>68.627275283179742</v>
      </c>
      <c r="N231" s="72">
        <f>(Graafit!V64*'Tuulivoimamelu '!O231)</f>
        <v>0</v>
      </c>
      <c r="O231" s="72">
        <f t="shared" si="85"/>
        <v>46.48143011960731</v>
      </c>
      <c r="P231" s="73">
        <f t="shared" si="86"/>
        <v>4.6481430119607312</v>
      </c>
      <c r="U231" s="72">
        <f>(Graafit!V124*'Tuulivoimamelu '!V231)</f>
        <v>0</v>
      </c>
      <c r="V231" s="71">
        <f>(O231+'Muunnokset lin A C'!D29)</f>
        <v>6.9814301196073103</v>
      </c>
      <c r="W231" s="73">
        <f t="shared" si="87"/>
        <v>0.69814301196073103</v>
      </c>
      <c r="Y231" s="71">
        <f>(O231+'Muunnokset lin A C'!E29)</f>
        <v>43.48143011960731</v>
      </c>
      <c r="Z231" s="73">
        <f t="shared" si="88"/>
        <v>4.3481430119607314</v>
      </c>
    </row>
    <row r="232" spans="2:30" ht="18.75">
      <c r="B232" s="70">
        <v>2700</v>
      </c>
      <c r="C232" s="4">
        <v>63</v>
      </c>
      <c r="D232" s="114">
        <f t="shared" si="83"/>
        <v>120.52470540278705</v>
      </c>
      <c r="F232" s="44">
        <f>(0.1/1000)*B232</f>
        <v>0.27</v>
      </c>
      <c r="H232" s="14">
        <v>4.3</v>
      </c>
      <c r="J232" s="44">
        <v>11</v>
      </c>
      <c r="L232" s="72">
        <f t="shared" si="84"/>
        <v>68.627275283179742</v>
      </c>
      <c r="N232" s="72">
        <f>(Graafit!V64*'Tuulivoimamelu '!O232)</f>
        <v>0</v>
      </c>
      <c r="O232" s="72">
        <f t="shared" si="85"/>
        <v>44.927430119607308</v>
      </c>
      <c r="P232" s="73">
        <f t="shared" si="86"/>
        <v>4.492743011960731</v>
      </c>
      <c r="U232" s="72">
        <f>(Graafit!V124*'Tuulivoimamelu '!V232)</f>
        <v>0</v>
      </c>
      <c r="V232" s="71">
        <f>(O232+'Muunnokset lin A C'!D32)</f>
        <v>18.727430119607309</v>
      </c>
      <c r="W232" s="73">
        <f t="shared" si="87"/>
        <v>1.8727430119607309</v>
      </c>
      <c r="Y232" s="71">
        <f>(O232+'Muunnokset lin A C'!E32)</f>
        <v>44.127430119607311</v>
      </c>
      <c r="Z232" s="73">
        <f t="shared" si="88"/>
        <v>4.4127430119607309</v>
      </c>
    </row>
    <row r="233" spans="2:30" ht="18.75">
      <c r="B233" s="70">
        <v>2700</v>
      </c>
      <c r="C233" s="4">
        <v>125</v>
      </c>
      <c r="D233" s="114">
        <f t="shared" si="83"/>
        <v>116.02470540278705</v>
      </c>
      <c r="F233" s="44">
        <f>(0.4/1000)*B233</f>
        <v>1.08</v>
      </c>
      <c r="H233" s="14">
        <v>1.8</v>
      </c>
      <c r="J233" s="44">
        <v>11</v>
      </c>
      <c r="L233" s="72">
        <f t="shared" si="84"/>
        <v>68.627275283179742</v>
      </c>
      <c r="N233" s="72">
        <f>(Graafit!V64*'Tuulivoimamelu '!O233)</f>
        <v>0</v>
      </c>
      <c r="O233" s="72">
        <f t="shared" si="85"/>
        <v>37.117430119607306</v>
      </c>
      <c r="P233" s="73">
        <f t="shared" si="86"/>
        <v>3.7117430119607304</v>
      </c>
      <c r="U233" s="72">
        <f>(Graafit!V124*'Tuulivoimamelu '!V233)</f>
        <v>0</v>
      </c>
      <c r="V233" s="71">
        <f>(O233+'Muunnokset lin A C'!D35)</f>
        <v>20.917430119607307</v>
      </c>
      <c r="W233" s="73">
        <f t="shared" si="87"/>
        <v>2.0917430119607308</v>
      </c>
      <c r="Y233" s="71">
        <f>(O233+'Muunnokset lin A C'!E35)</f>
        <v>36.917430119607303</v>
      </c>
      <c r="Z233" s="73">
        <f t="shared" si="88"/>
        <v>3.6917430119607304</v>
      </c>
    </row>
    <row r="234" spans="2:30" ht="18.75">
      <c r="B234" s="70">
        <v>2700</v>
      </c>
      <c r="C234" s="4">
        <v>250</v>
      </c>
      <c r="D234" s="114">
        <f t="shared" si="83"/>
        <v>109.02470540278703</v>
      </c>
      <c r="F234" s="44">
        <f>(1/1000)*B234</f>
        <v>2.7</v>
      </c>
      <c r="H234" s="14">
        <v>-0.5</v>
      </c>
      <c r="J234" s="44">
        <v>11</v>
      </c>
      <c r="L234" s="72">
        <f t="shared" si="84"/>
        <v>68.627275283179742</v>
      </c>
      <c r="N234" s="72">
        <f>(Graafit!V64*'Tuulivoimamelu '!O234)</f>
        <v>0</v>
      </c>
      <c r="O234" s="72">
        <f t="shared" si="85"/>
        <v>26.19743011960729</v>
      </c>
      <c r="P234" s="73">
        <f t="shared" si="86"/>
        <v>2.619743011960729</v>
      </c>
      <c r="U234" s="72">
        <f>(Graafit!V124*'Tuulivoimamelu '!V234)</f>
        <v>0</v>
      </c>
      <c r="V234" s="71">
        <f>(O234+'Muunnokset lin A C'!D38)</f>
        <v>17.597430119607289</v>
      </c>
      <c r="W234" s="73">
        <f t="shared" si="87"/>
        <v>1.7597430119607289</v>
      </c>
      <c r="Y234" s="71">
        <f>(O234+'Muunnokset lin A C'!E38)</f>
        <v>26.19743011960729</v>
      </c>
      <c r="Z234" s="73">
        <f t="shared" si="88"/>
        <v>2.619743011960729</v>
      </c>
    </row>
    <row r="235" spans="2:30" ht="18.75">
      <c r="B235" s="70">
        <v>2700</v>
      </c>
      <c r="C235" s="4">
        <v>500</v>
      </c>
      <c r="D235" s="114">
        <f t="shared" si="83"/>
        <v>106.12470540278704</v>
      </c>
      <c r="F235" s="44">
        <f>(1.9/1000)*B235</f>
        <v>5.13</v>
      </c>
      <c r="H235" s="14">
        <v>-3</v>
      </c>
      <c r="J235" s="44">
        <v>11</v>
      </c>
      <c r="L235" s="72">
        <f t="shared" si="84"/>
        <v>68.627275283179742</v>
      </c>
      <c r="N235" s="72">
        <f>(Graafit!V64*'Tuulivoimamelu '!O235)</f>
        <v>0</v>
      </c>
      <c r="O235" s="72">
        <f t="shared" si="85"/>
        <v>18.367430119607306</v>
      </c>
      <c r="P235" s="73">
        <f t="shared" si="86"/>
        <v>1.8367430119607306</v>
      </c>
      <c r="U235" s="72">
        <f>(Graafit!V124*'Tuulivoimamelu '!V235)</f>
        <v>0</v>
      </c>
      <c r="V235" s="71">
        <f>(O235+'Muunnokset lin A C'!D39)</f>
        <v>15.167430119607307</v>
      </c>
      <c r="W235" s="73">
        <f t="shared" si="87"/>
        <v>1.5167430119607306</v>
      </c>
      <c r="Y235" s="71">
        <f>(O235+'Muunnokset lin A C'!E39)</f>
        <v>18.367430119607306</v>
      </c>
      <c r="Z235" s="73">
        <f t="shared" si="88"/>
        <v>1.8367430119607306</v>
      </c>
    </row>
    <row r="236" spans="2:30" ht="18.75">
      <c r="B236" s="70">
        <v>2700</v>
      </c>
      <c r="C236" s="4">
        <v>1000</v>
      </c>
      <c r="D236" s="114">
        <f t="shared" si="83"/>
        <v>105.72470540278704</v>
      </c>
      <c r="F236" s="44">
        <f>(3.7/1000)*B236</f>
        <v>9.99</v>
      </c>
      <c r="H236" s="14">
        <v>-1</v>
      </c>
      <c r="J236" s="44">
        <v>11</v>
      </c>
      <c r="L236" s="72">
        <f t="shared" si="84"/>
        <v>68.627275283179742</v>
      </c>
      <c r="N236" s="72">
        <f>(Graafit!V64*'Tuulivoimamelu '!O236)</f>
        <v>0</v>
      </c>
      <c r="O236" s="72">
        <f t="shared" si="85"/>
        <v>15.107430119607301</v>
      </c>
      <c r="P236" s="73">
        <f t="shared" si="86"/>
        <v>1.5107430119607301</v>
      </c>
      <c r="U236" s="72">
        <f>(Graafit!V124*'Tuulivoimamelu '!V236)</f>
        <v>0</v>
      </c>
      <c r="V236" s="71">
        <f>(O236+'Muunnokset lin A C'!D40)</f>
        <v>15.107430119607301</v>
      </c>
      <c r="W236" s="73">
        <f t="shared" si="87"/>
        <v>1.5107430119607301</v>
      </c>
      <c r="Y236" s="71">
        <f>(O236+'Muunnokset lin A C'!E40)</f>
        <v>15.107430119607301</v>
      </c>
      <c r="Z236" s="73">
        <f t="shared" si="88"/>
        <v>1.5107430119607301</v>
      </c>
    </row>
    <row r="237" spans="2:30" ht="18.75">
      <c r="B237" s="70">
        <v>2700</v>
      </c>
      <c r="C237" s="4">
        <v>2000</v>
      </c>
      <c r="D237" s="114">
        <f t="shared" si="83"/>
        <v>102.42470540278704</v>
      </c>
      <c r="F237" s="44">
        <f>(9.7/1000)*B237</f>
        <v>26.189999999999998</v>
      </c>
      <c r="H237" s="14">
        <v>0</v>
      </c>
      <c r="J237" s="44">
        <v>11</v>
      </c>
      <c r="L237" s="72">
        <f t="shared" si="84"/>
        <v>68.627275283179742</v>
      </c>
      <c r="N237" s="72">
        <f>(Graafit!V64*'Tuulivoimamelu '!O237)</f>
        <v>0</v>
      </c>
      <c r="O237" s="72">
        <f t="shared" si="85"/>
        <v>-3.3925698803926991</v>
      </c>
      <c r="P237" s="73">
        <f t="shared" si="86"/>
        <v>-0.3392569880392699</v>
      </c>
      <c r="U237" s="72">
        <f>(Graafit!V124*'Tuulivoimamelu '!V237)</f>
        <v>0</v>
      </c>
      <c r="V237" s="71">
        <f>(O237+'Muunnokset lin A C'!D41)</f>
        <v>-2.192569880392699</v>
      </c>
      <c r="W237" s="73">
        <f t="shared" si="87"/>
        <v>-0.21925698803926991</v>
      </c>
      <c r="Y237" s="71">
        <f>(O237+'Muunnokset lin A C'!E41)</f>
        <v>-3.5925698803926993</v>
      </c>
      <c r="Z237" s="73">
        <f t="shared" si="88"/>
        <v>-0.35925698803926992</v>
      </c>
    </row>
    <row r="238" spans="2:30" ht="18.75">
      <c r="B238" s="70">
        <v>2700</v>
      </c>
      <c r="C238" s="4">
        <v>4000</v>
      </c>
      <c r="D238" s="114">
        <f t="shared" si="83"/>
        <v>97.724705402787038</v>
      </c>
      <c r="F238" s="44">
        <f>(32.8/1000)*B238</f>
        <v>88.559999999999988</v>
      </c>
      <c r="H238" s="14">
        <v>0</v>
      </c>
      <c r="J238" s="44">
        <v>11</v>
      </c>
      <c r="L238" s="72">
        <f t="shared" si="84"/>
        <v>68.627275283179742</v>
      </c>
      <c r="N238" s="72">
        <f>(Graafit!V64*'Tuulivoimamelu '!O238)</f>
        <v>0</v>
      </c>
      <c r="O238" s="72">
        <f t="shared" si="85"/>
        <v>-70.462569880392692</v>
      </c>
      <c r="P238" s="73">
        <f t="shared" si="86"/>
        <v>-7.0462569880392696</v>
      </c>
      <c r="U238" s="72">
        <f>(Graafit!V124*'Tuulivoimamelu '!V238)</f>
        <v>0</v>
      </c>
      <c r="V238" s="71">
        <f>(O238+'Muunnokset lin A C'!D42)</f>
        <v>-69.462569880392692</v>
      </c>
      <c r="W238" s="73">
        <f t="shared" si="87"/>
        <v>-6.9462569880392691</v>
      </c>
      <c r="Y238" s="71">
        <f>(O238+'Muunnokset lin A C'!E42)</f>
        <v>-71.262569880392689</v>
      </c>
      <c r="Z238" s="73">
        <f t="shared" si="88"/>
        <v>-7.1262569880392688</v>
      </c>
    </row>
    <row r="239" spans="2:30" ht="18.75">
      <c r="B239" s="70">
        <v>2700</v>
      </c>
      <c r="C239" s="4">
        <v>8000</v>
      </c>
      <c r="D239" s="114">
        <f t="shared" si="83"/>
        <v>92.024705402787035</v>
      </c>
      <c r="F239" s="44">
        <f>(117/1000)*B239</f>
        <v>315.90000000000003</v>
      </c>
      <c r="H239" s="14">
        <v>0</v>
      </c>
      <c r="J239" s="44">
        <v>11</v>
      </c>
      <c r="L239" s="72">
        <f t="shared" si="84"/>
        <v>68.627275283179742</v>
      </c>
      <c r="N239" s="72">
        <f>(Graafit!V64*'Tuulivoimamelu '!O239)</f>
        <v>0</v>
      </c>
      <c r="O239" s="72">
        <f t="shared" si="85"/>
        <v>-303.50256988039274</v>
      </c>
      <c r="P239" s="73">
        <f t="shared" si="86"/>
        <v>-30.350256988039273</v>
      </c>
      <c r="U239" s="72">
        <f>(Graafit!V124*'Tuulivoimamelu '!V239)</f>
        <v>0</v>
      </c>
      <c r="V239" s="71">
        <f>(O239+'Muunnokset lin A C'!D43)</f>
        <v>-304.60256988039276</v>
      </c>
      <c r="W239" s="73">
        <f t="shared" si="87"/>
        <v>-30.460256988039276</v>
      </c>
      <c r="Y239" s="71">
        <f>(O239+'Muunnokset lin A C'!E43)</f>
        <v>-306.50256988039274</v>
      </c>
      <c r="Z239" s="73">
        <f t="shared" si="88"/>
        <v>-30.650256988039274</v>
      </c>
    </row>
    <row r="240" spans="2:30">
      <c r="D240" s="71"/>
    </row>
    <row r="241" spans="2:30" ht="21">
      <c r="D241" s="71"/>
      <c r="N241" s="76">
        <f>(B229)</f>
        <v>2700</v>
      </c>
      <c r="O241" s="74">
        <f>(10*LOG(10^P229+10^P230+10^P231+10^P232+10^P233+10^P234+10^P235+10^P236+10^P237+10^P238+10^P239))</f>
        <v>55.627792482289713</v>
      </c>
      <c r="P241" s="75" t="s">
        <v>4</v>
      </c>
      <c r="R241" s="80">
        <f>(10*LOG(10^P229+10^P230+10^P231+10^P232+10^P233+10^P234))</f>
        <v>55.626585509075355</v>
      </c>
      <c r="S241" s="81" t="s">
        <v>4</v>
      </c>
      <c r="T241" s="17"/>
      <c r="U241" s="18"/>
      <c r="V241" s="74">
        <f>(10*LOG(10^W229+10^W230+10^W231+10^W232+10^W233+10^W234+10^W235+10^W236+10^W237+10^W238+10^W239))</f>
        <v>25.195939226698222</v>
      </c>
      <c r="W241" s="75" t="s">
        <v>2</v>
      </c>
      <c r="Y241" s="74">
        <f>(10*LOG(10^Z229+10^Z230+10^Z231+10^Z232+10^Z233+10^Z234+10^Z235+10^Z236+10^Z237+10^Z238+10^Z239))</f>
        <v>51.159710725448797</v>
      </c>
      <c r="Z241" s="75" t="s">
        <v>3</v>
      </c>
      <c r="AB241" s="1" t="s">
        <v>39</v>
      </c>
      <c r="AD241" s="83">
        <f>(Y241-V241)</f>
        <v>25.963771498750575</v>
      </c>
    </row>
    <row r="242" spans="2:30">
      <c r="D242" s="71"/>
      <c r="R242" s="20" t="s">
        <v>38</v>
      </c>
      <c r="S242" s="21"/>
      <c r="T242" s="21"/>
      <c r="U242" s="22"/>
    </row>
    <row r="243" spans="2:30">
      <c r="D243" s="71"/>
      <c r="N243" t="s">
        <v>70</v>
      </c>
      <c r="U243" t="s">
        <v>70</v>
      </c>
    </row>
    <row r="244" spans="2:30" ht="18.75">
      <c r="B244" s="70">
        <v>3000</v>
      </c>
      <c r="C244" s="58">
        <v>20</v>
      </c>
      <c r="D244" s="114">
        <f>(D39)</f>
        <v>127.32470540278703</v>
      </c>
      <c r="F244" s="44">
        <f>(0.01/1000)*B244</f>
        <v>3.0000000000000002E-2</v>
      </c>
      <c r="H244" s="14">
        <v>5.6</v>
      </c>
      <c r="J244" s="44">
        <v>11</v>
      </c>
      <c r="L244" s="72">
        <f>(20*LOG(B244))</f>
        <v>69.542425094393252</v>
      </c>
      <c r="N244" s="72">
        <f>(Graafit!V65*'Tuulivoimamelu '!O244)</f>
        <v>0</v>
      </c>
      <c r="O244" s="72">
        <f t="shared" ref="O244" si="89">(D244-F244+H244-J244-L244)</f>
        <v>52.352280308393773</v>
      </c>
      <c r="P244" s="73">
        <f>(O244/10)</f>
        <v>5.2352280308393775</v>
      </c>
      <c r="U244" s="72">
        <f>(Graafit!V125*'Tuulivoimamelu '!V244)</f>
        <v>0</v>
      </c>
      <c r="V244" s="82">
        <f>(O244+'Muunnokset lin A C'!D27)</f>
        <v>1.9522803083937745</v>
      </c>
      <c r="W244" s="73">
        <f>(V244/10)</f>
        <v>0.19522803083937745</v>
      </c>
      <c r="Y244" s="71">
        <f>(O244+'Muunnokset lin A C'!E27)</f>
        <v>46.15228030839377</v>
      </c>
      <c r="Z244" s="73">
        <f t="shared" ref="Z244:Z254" si="90">(Y244/10)</f>
        <v>4.6152280308393774</v>
      </c>
    </row>
    <row r="245" spans="2:30" ht="18.75">
      <c r="B245" s="70">
        <v>3000</v>
      </c>
      <c r="C245" s="4">
        <v>25</v>
      </c>
      <c r="D245" s="114">
        <f t="shared" ref="D245:D254" si="91">(D40)</f>
        <v>122.92470540278704</v>
      </c>
      <c r="F245" s="44">
        <f>(0.05/1000)*B245</f>
        <v>0.15</v>
      </c>
      <c r="H245" s="14">
        <v>5.4</v>
      </c>
      <c r="J245" s="44">
        <v>11</v>
      </c>
      <c r="L245" s="72">
        <f t="shared" ref="L245:L254" si="92">(20*LOG(B245))</f>
        <v>69.542425094393252</v>
      </c>
      <c r="N245" s="72">
        <f>(Graafit!V65*'Tuulivoimamelu '!O245)</f>
        <v>0</v>
      </c>
      <c r="O245" s="72">
        <f t="shared" ref="O245:O254" si="93">(D245-F245+H245-J245-L245)</f>
        <v>47.632280308393774</v>
      </c>
      <c r="P245" s="73">
        <f t="shared" ref="P245:P254" si="94">(O245/10)</f>
        <v>4.7632280308393771</v>
      </c>
      <c r="U245" s="72">
        <f>(Graafit!V125*'Tuulivoimamelu '!V245)</f>
        <v>0</v>
      </c>
      <c r="V245" s="71">
        <f>(O245+'Muunnokset lin A C'!D28)</f>
        <v>2.8322803083937771</v>
      </c>
      <c r="W245" s="73">
        <f t="shared" ref="W245:W254" si="95">(V245/10)</f>
        <v>0.2832280308393777</v>
      </c>
      <c r="Y245" s="71">
        <f>(O245+'Muunnokset lin A C'!E28)</f>
        <v>43.232280308393776</v>
      </c>
      <c r="Z245" s="73">
        <f t="shared" si="90"/>
        <v>4.3232280308393776</v>
      </c>
    </row>
    <row r="246" spans="2:30" ht="18.75">
      <c r="B246" s="70">
        <v>3000</v>
      </c>
      <c r="C246" s="4">
        <v>31.5</v>
      </c>
      <c r="D246" s="114">
        <f t="shared" si="91"/>
        <v>121.12470540278704</v>
      </c>
      <c r="F246" s="44">
        <f>(0.08/1000)*B246</f>
        <v>0.24000000000000002</v>
      </c>
      <c r="H246" s="14">
        <v>5.2</v>
      </c>
      <c r="J246" s="44">
        <v>11</v>
      </c>
      <c r="L246" s="72">
        <f t="shared" si="92"/>
        <v>69.542425094393252</v>
      </c>
      <c r="N246" s="72">
        <f>(Graafit!V65*'Tuulivoimamelu '!O246)</f>
        <v>0</v>
      </c>
      <c r="O246" s="72">
        <f t="shared" si="93"/>
        <v>45.542280308393799</v>
      </c>
      <c r="P246" s="73">
        <f t="shared" si="94"/>
        <v>4.5542280308393801</v>
      </c>
      <c r="U246" s="72">
        <f>(Graafit!V125*'Tuulivoimamelu '!V246)</f>
        <v>0</v>
      </c>
      <c r="V246" s="71">
        <f>(O246+'Muunnokset lin A C'!D29)</f>
        <v>6.0422803083937993</v>
      </c>
      <c r="W246" s="73">
        <f t="shared" si="95"/>
        <v>0.60422803083937993</v>
      </c>
      <c r="Y246" s="71">
        <f>(O246+'Muunnokset lin A C'!E29)</f>
        <v>42.542280308393799</v>
      </c>
      <c r="Z246" s="73">
        <f t="shared" si="90"/>
        <v>4.2542280308393803</v>
      </c>
    </row>
    <row r="247" spans="2:30" ht="18.75">
      <c r="B247" s="70">
        <v>3000</v>
      </c>
      <c r="C247" s="4">
        <v>63</v>
      </c>
      <c r="D247" s="114">
        <f t="shared" si="91"/>
        <v>120.52470540278705</v>
      </c>
      <c r="F247" s="44">
        <f>(0.1/1000)*B247</f>
        <v>0.3</v>
      </c>
      <c r="H247" s="14">
        <v>4.3</v>
      </c>
      <c r="J247" s="44">
        <v>11</v>
      </c>
      <c r="L247" s="72">
        <f t="shared" si="92"/>
        <v>69.542425094393252</v>
      </c>
      <c r="N247" s="72">
        <f>(Graafit!V65*'Tuulivoimamelu '!O247)</f>
        <v>0</v>
      </c>
      <c r="O247" s="72">
        <f t="shared" si="93"/>
        <v>43.982280308393797</v>
      </c>
      <c r="P247" s="73">
        <f t="shared" si="94"/>
        <v>4.3982280308393795</v>
      </c>
      <c r="U247" s="72">
        <f>(Graafit!V125*'Tuulivoimamelu '!V247)</f>
        <v>0</v>
      </c>
      <c r="V247" s="71">
        <f>(O247+'Muunnokset lin A C'!D32)</f>
        <v>17.782280308393798</v>
      </c>
      <c r="W247" s="73">
        <f t="shared" si="95"/>
        <v>1.7782280308393799</v>
      </c>
      <c r="Y247" s="71">
        <f>(O247+'Muunnokset lin A C'!E32)</f>
        <v>43.1822803083938</v>
      </c>
      <c r="Z247" s="73">
        <f t="shared" si="90"/>
        <v>4.3182280308393803</v>
      </c>
    </row>
    <row r="248" spans="2:30" ht="18.75">
      <c r="B248" s="70">
        <v>3000</v>
      </c>
      <c r="C248" s="4">
        <v>125</v>
      </c>
      <c r="D248" s="114">
        <f t="shared" si="91"/>
        <v>116.02470540278705</v>
      </c>
      <c r="F248" s="44">
        <f>(0.4/1000)*B248</f>
        <v>1.2</v>
      </c>
      <c r="H248" s="14">
        <v>1.8</v>
      </c>
      <c r="J248" s="44">
        <v>11</v>
      </c>
      <c r="L248" s="72">
        <f t="shared" si="92"/>
        <v>69.542425094393252</v>
      </c>
      <c r="N248" s="72">
        <f>(Graafit!V65*'Tuulivoimamelu '!O248)</f>
        <v>0</v>
      </c>
      <c r="O248" s="72">
        <f t="shared" si="93"/>
        <v>36.082280308393791</v>
      </c>
      <c r="P248" s="73">
        <f t="shared" si="94"/>
        <v>3.608228030839379</v>
      </c>
      <c r="U248" s="72">
        <f>(Graafit!V125*'Tuulivoimamelu '!V248)</f>
        <v>0</v>
      </c>
      <c r="V248" s="71">
        <f>(O248+'Muunnokset lin A C'!D35)</f>
        <v>19.882280308393792</v>
      </c>
      <c r="W248" s="73">
        <f t="shared" si="95"/>
        <v>1.9882280308393792</v>
      </c>
      <c r="Y248" s="71">
        <f>(O248+'Muunnokset lin A C'!E35)</f>
        <v>35.882280308393788</v>
      </c>
      <c r="Z248" s="73">
        <f t="shared" si="90"/>
        <v>3.588228030839379</v>
      </c>
    </row>
    <row r="249" spans="2:30" ht="18.75">
      <c r="B249" s="70">
        <v>3000</v>
      </c>
      <c r="C249" s="4">
        <v>250</v>
      </c>
      <c r="D249" s="114">
        <f t="shared" si="91"/>
        <v>109.02470540278703</v>
      </c>
      <c r="F249" s="44">
        <f>(1/1000)*B249</f>
        <v>3</v>
      </c>
      <c r="H249" s="14">
        <v>-0.5</v>
      </c>
      <c r="J249" s="44">
        <v>11</v>
      </c>
      <c r="L249" s="72">
        <f t="shared" si="92"/>
        <v>69.542425094393252</v>
      </c>
      <c r="N249" s="72">
        <f>(Graafit!V65*'Tuulivoimamelu '!O249)</f>
        <v>0</v>
      </c>
      <c r="O249" s="72">
        <f t="shared" si="93"/>
        <v>24.982280308393783</v>
      </c>
      <c r="P249" s="73">
        <f t="shared" si="94"/>
        <v>2.4982280308393783</v>
      </c>
      <c r="U249" s="72">
        <f>(Graafit!V125*'Tuulivoimamelu '!V249)</f>
        <v>0</v>
      </c>
      <c r="V249" s="71">
        <f>(O249+'Muunnokset lin A C'!D38)</f>
        <v>16.382280308393781</v>
      </c>
      <c r="W249" s="73">
        <f t="shared" si="95"/>
        <v>1.6382280308393782</v>
      </c>
      <c r="Y249" s="71">
        <f>(O249+'Muunnokset lin A C'!E38)</f>
        <v>24.982280308393783</v>
      </c>
      <c r="Z249" s="73">
        <f t="shared" si="90"/>
        <v>2.4982280308393783</v>
      </c>
    </row>
    <row r="250" spans="2:30" ht="18.75">
      <c r="B250" s="70">
        <v>3000</v>
      </c>
      <c r="C250" s="4">
        <v>500</v>
      </c>
      <c r="D250" s="114">
        <f t="shared" si="91"/>
        <v>106.12470540278704</v>
      </c>
      <c r="F250" s="44">
        <f>(1.9/1000)*B250</f>
        <v>5.7</v>
      </c>
      <c r="H250" s="14">
        <v>-3</v>
      </c>
      <c r="J250" s="44">
        <v>11</v>
      </c>
      <c r="L250" s="72">
        <f t="shared" si="92"/>
        <v>69.542425094393252</v>
      </c>
      <c r="N250" s="72">
        <f>(Graafit!V65*'Tuulivoimamelu '!O250)</f>
        <v>0</v>
      </c>
      <c r="O250" s="72">
        <f t="shared" si="93"/>
        <v>16.882280308393788</v>
      </c>
      <c r="P250" s="73">
        <f t="shared" si="94"/>
        <v>1.6882280308393789</v>
      </c>
      <c r="U250" s="72">
        <f>(Graafit!V125*'Tuulivoimamelu '!V250)</f>
        <v>0</v>
      </c>
      <c r="V250" s="71">
        <f>(O250+'Muunnokset lin A C'!D39)</f>
        <v>13.682280308393789</v>
      </c>
      <c r="W250" s="73">
        <f t="shared" si="95"/>
        <v>1.3682280308393788</v>
      </c>
      <c r="Y250" s="71">
        <f>(O250+'Muunnokset lin A C'!E39)</f>
        <v>16.882280308393788</v>
      </c>
      <c r="Z250" s="73">
        <f t="shared" si="90"/>
        <v>1.6882280308393789</v>
      </c>
    </row>
    <row r="251" spans="2:30" ht="18.75">
      <c r="B251" s="70">
        <v>3000</v>
      </c>
      <c r="C251" s="4">
        <v>1000</v>
      </c>
      <c r="D251" s="114">
        <f t="shared" si="91"/>
        <v>105.72470540278704</v>
      </c>
      <c r="F251" s="44">
        <f>(3.7/1000)*B251</f>
        <v>11.1</v>
      </c>
      <c r="H251" s="14">
        <v>-1</v>
      </c>
      <c r="J251" s="44">
        <v>11</v>
      </c>
      <c r="L251" s="72">
        <f t="shared" si="92"/>
        <v>69.542425094393252</v>
      </c>
      <c r="N251" s="72">
        <f>(Graafit!V65*'Tuulivoimamelu '!O251)</f>
        <v>0</v>
      </c>
      <c r="O251" s="72">
        <f t="shared" si="93"/>
        <v>13.082280308393791</v>
      </c>
      <c r="P251" s="73">
        <f t="shared" si="94"/>
        <v>1.3082280308393792</v>
      </c>
      <c r="U251" s="72">
        <f>(Graafit!V125*'Tuulivoimamelu '!V251)</f>
        <v>0</v>
      </c>
      <c r="V251" s="71">
        <f>(O251+'Muunnokset lin A C'!D40)</f>
        <v>13.082280308393791</v>
      </c>
      <c r="W251" s="73">
        <f t="shared" si="95"/>
        <v>1.3082280308393792</v>
      </c>
      <c r="Y251" s="71">
        <f>(O251+'Muunnokset lin A C'!E40)</f>
        <v>13.082280308393791</v>
      </c>
      <c r="Z251" s="73">
        <f t="shared" si="90"/>
        <v>1.3082280308393792</v>
      </c>
    </row>
    <row r="252" spans="2:30" ht="18.75">
      <c r="B252" s="70">
        <v>3000</v>
      </c>
      <c r="C252" s="4">
        <v>2000</v>
      </c>
      <c r="D252" s="114">
        <f t="shared" si="91"/>
        <v>102.42470540278704</v>
      </c>
      <c r="F252" s="44">
        <f>(9.7/1000)*B252</f>
        <v>29.099999999999994</v>
      </c>
      <c r="H252" s="14">
        <v>0</v>
      </c>
      <c r="J252" s="44">
        <v>11</v>
      </c>
      <c r="L252" s="72">
        <f t="shared" si="92"/>
        <v>69.542425094393252</v>
      </c>
      <c r="N252" s="72">
        <f>(Graafit!V65*'Tuulivoimamelu '!O252)</f>
        <v>0</v>
      </c>
      <c r="O252" s="72">
        <f t="shared" si="93"/>
        <v>-7.2177196916062059</v>
      </c>
      <c r="P252" s="73">
        <f t="shared" si="94"/>
        <v>-0.72177196916062059</v>
      </c>
      <c r="U252" s="72">
        <f>(Graafit!V125*'Tuulivoimamelu '!V252)</f>
        <v>0</v>
      </c>
      <c r="V252" s="71">
        <f>(O252+'Muunnokset lin A C'!D41)</f>
        <v>-6.0177196916062057</v>
      </c>
      <c r="W252" s="73">
        <f t="shared" si="95"/>
        <v>-0.60177196916062059</v>
      </c>
      <c r="Y252" s="71">
        <f>(O252+'Muunnokset lin A C'!E41)</f>
        <v>-7.417719691606206</v>
      </c>
      <c r="Z252" s="73">
        <f t="shared" si="90"/>
        <v>-0.7417719691606206</v>
      </c>
    </row>
    <row r="253" spans="2:30" ht="18.75">
      <c r="B253" s="70">
        <v>3000</v>
      </c>
      <c r="C253" s="4">
        <v>4000</v>
      </c>
      <c r="D253" s="114">
        <f t="shared" si="91"/>
        <v>97.724705402787038</v>
      </c>
      <c r="F253" s="44">
        <f>(32.8/1000)*B253</f>
        <v>98.399999999999991</v>
      </c>
      <c r="H253" s="14">
        <v>0</v>
      </c>
      <c r="J253" s="44">
        <v>11</v>
      </c>
      <c r="L253" s="72">
        <f t="shared" si="92"/>
        <v>69.542425094393252</v>
      </c>
      <c r="N253" s="72">
        <f>(Graafit!V65*'Tuulivoimamelu '!O253)</f>
        <v>0</v>
      </c>
      <c r="O253" s="72">
        <f t="shared" si="93"/>
        <v>-81.217719691606206</v>
      </c>
      <c r="P253" s="73">
        <f t="shared" si="94"/>
        <v>-8.1217719691606209</v>
      </c>
      <c r="U253" s="72">
        <f>(Graafit!V125*'Tuulivoimamelu '!V253)</f>
        <v>0</v>
      </c>
      <c r="V253" s="71">
        <f>(O253+'Muunnokset lin A C'!D42)</f>
        <v>-80.217719691606206</v>
      </c>
      <c r="W253" s="73">
        <f t="shared" si="95"/>
        <v>-8.0217719691606213</v>
      </c>
      <c r="Y253" s="71">
        <f>(O253+'Muunnokset lin A C'!E42)</f>
        <v>-82.017719691606203</v>
      </c>
      <c r="Z253" s="73">
        <f t="shared" si="90"/>
        <v>-8.201771969160621</v>
      </c>
    </row>
    <row r="254" spans="2:30" ht="18.75">
      <c r="B254" s="70">
        <v>3000</v>
      </c>
      <c r="C254" s="4">
        <v>8000</v>
      </c>
      <c r="D254" s="114">
        <f t="shared" si="91"/>
        <v>92.024705402787035</v>
      </c>
      <c r="F254" s="44">
        <f>(117/1000)*B254</f>
        <v>351</v>
      </c>
      <c r="H254" s="14">
        <v>0</v>
      </c>
      <c r="J254" s="44">
        <v>11</v>
      </c>
      <c r="L254" s="72">
        <f t="shared" si="92"/>
        <v>69.542425094393252</v>
      </c>
      <c r="N254" s="72">
        <f>(Graafit!V65*'Tuulivoimamelu '!O254)</f>
        <v>0</v>
      </c>
      <c r="O254" s="72">
        <f t="shared" si="93"/>
        <v>-339.5177196916062</v>
      </c>
      <c r="P254" s="73">
        <f t="shared" si="94"/>
        <v>-33.951771969160617</v>
      </c>
      <c r="U254" s="72">
        <f>(Graafit!V125*'Tuulivoimamelu '!V254)</f>
        <v>0</v>
      </c>
      <c r="V254" s="71">
        <f>(O254+'Muunnokset lin A C'!D43)</f>
        <v>-340.61771969160623</v>
      </c>
      <c r="W254" s="73">
        <f t="shared" si="95"/>
        <v>-34.061771969160624</v>
      </c>
      <c r="Y254" s="71">
        <f>(O254+'Muunnokset lin A C'!E43)</f>
        <v>-342.5177196916062</v>
      </c>
      <c r="Z254" s="73">
        <f t="shared" si="90"/>
        <v>-34.251771969160622</v>
      </c>
    </row>
    <row r="255" spans="2:30">
      <c r="D255" s="71"/>
    </row>
    <row r="256" spans="2:30" ht="21">
      <c r="D256" s="71"/>
      <c r="N256" s="76">
        <f>(B244)</f>
        <v>3000</v>
      </c>
      <c r="O256" s="74">
        <f>(10*LOG(10^P244+10^P245+10^P246+10^P247+10^P248+10^P249+10^P250+10^P251+10^P252+10^P253+10^P254))</f>
        <v>54.700293355725634</v>
      </c>
      <c r="P256" s="75" t="s">
        <v>4</v>
      </c>
      <c r="R256" s="80">
        <f>(10*LOG(10^P244+10^P245+10^P246+10^P247+10^P248+10^P249))</f>
        <v>54.69927346258406</v>
      </c>
      <c r="S256" s="81" t="s">
        <v>4</v>
      </c>
      <c r="T256" s="17"/>
      <c r="U256" s="18"/>
      <c r="V256" s="74">
        <f>(10*LOG(10^W244+10^W245+10^W246+10^W247+10^W248+10^W249+10^W250+10^W251+10^W252+10^W253+10^W254))</f>
        <v>24.018290687676807</v>
      </c>
      <c r="W256" s="75" t="s">
        <v>2</v>
      </c>
      <c r="Y256" s="74">
        <f>(10*LOG(10^Z244+10^Z245+10^Z246+10^Z247+10^Z248+10^Z249+10^Z250+10^Z251+10^Z252+10^Z253+10^Z254))</f>
        <v>50.224437324190589</v>
      </c>
      <c r="Z256" s="75" t="s">
        <v>3</v>
      </c>
      <c r="AB256" s="1" t="s">
        <v>39</v>
      </c>
      <c r="AD256" s="83">
        <f>(Y256-V256)</f>
        <v>26.206146636513783</v>
      </c>
    </row>
    <row r="257" spans="2:26">
      <c r="D257" s="71"/>
      <c r="R257" s="20" t="s">
        <v>38</v>
      </c>
      <c r="S257" s="21"/>
      <c r="T257" s="21"/>
      <c r="U257" s="22"/>
    </row>
    <row r="258" spans="2:26">
      <c r="D258" s="71"/>
    </row>
    <row r="259" spans="2:26">
      <c r="B259" t="s">
        <v>72</v>
      </c>
      <c r="D259" s="71"/>
    </row>
    <row r="260" spans="2:26">
      <c r="D260" s="71"/>
      <c r="N260" t="s">
        <v>70</v>
      </c>
      <c r="U260" t="s">
        <v>70</v>
      </c>
    </row>
    <row r="261" spans="2:26" ht="18.75">
      <c r="B261" s="70">
        <f>(Graafit!U102)</f>
        <v>2200</v>
      </c>
      <c r="C261" s="58">
        <v>20</v>
      </c>
      <c r="D261" s="114">
        <f>(D39)</f>
        <v>127.32470540278703</v>
      </c>
      <c r="F261" s="44">
        <f>(0.01/1000)*B261</f>
        <v>2.2000000000000002E-2</v>
      </c>
      <c r="H261" s="14">
        <v>5.6</v>
      </c>
      <c r="J261" s="44">
        <v>11</v>
      </c>
      <c r="L261" s="72">
        <f>(20*LOG(B261))</f>
        <v>66.848453616444118</v>
      </c>
      <c r="N261" s="72">
        <f>(Graafit!V67*'Tuulivoimamelu '!O261)-(Graafit!Z67*Graafit!W75)</f>
        <v>55.054251786342917</v>
      </c>
      <c r="O261" s="72">
        <f t="shared" ref="O261" si="96">(D261-F261+H261-J261-L261)</f>
        <v>55.054251786342917</v>
      </c>
      <c r="P261" s="73">
        <f>(O261/10)</f>
        <v>5.505425178634292</v>
      </c>
      <c r="U261" s="72">
        <f>(Graafit!V127*'Tuulivoimamelu '!V261)-(Graafit!Z127*Graafit!W75)</f>
        <v>4.6542517863429183</v>
      </c>
      <c r="V261" s="82">
        <f>(O261+'Muunnokset lin A C'!D27)</f>
        <v>4.6542517863429183</v>
      </c>
      <c r="W261" s="73">
        <f>(V261/10)</f>
        <v>0.46542517863429184</v>
      </c>
      <c r="Y261" s="71">
        <f>(O261+'Muunnokset lin A C'!E27)</f>
        <v>48.854251786342914</v>
      </c>
      <c r="Z261" s="73">
        <f t="shared" ref="Z261" si="97">(Y261/10)</f>
        <v>4.885425178634291</v>
      </c>
    </row>
    <row r="262" spans="2:26" ht="18.75">
      <c r="B262" s="70">
        <f>(B261)</f>
        <v>2200</v>
      </c>
      <c r="C262" s="4">
        <v>25</v>
      </c>
      <c r="D262" s="114">
        <f t="shared" ref="D262:D271" si="98">(D40)</f>
        <v>122.92470540278704</v>
      </c>
      <c r="F262" s="44">
        <f>(0.05/1000)*B262</f>
        <v>0.11</v>
      </c>
      <c r="H262" s="14">
        <v>5.4</v>
      </c>
      <c r="J262" s="44">
        <v>11</v>
      </c>
      <c r="L262" s="72">
        <f t="shared" ref="L262:L271" si="99">(20*LOG(B262))</f>
        <v>66.848453616444118</v>
      </c>
      <c r="N262" s="72">
        <f>(Graafit!V67*'Tuulivoimamelu '!O262)-(Graafit!Z67*Graafit!W76)</f>
        <v>50.366251786342929</v>
      </c>
      <c r="O262" s="72">
        <f t="shared" ref="O262:O271" si="100">(D262-F262+H262-J262-L262)</f>
        <v>50.366251786342929</v>
      </c>
      <c r="P262" s="73">
        <f t="shared" ref="P262:P271" si="101">(O262/10)</f>
        <v>5.036625178634293</v>
      </c>
      <c r="U262" s="72">
        <f>(Graafit!V127*'Tuulivoimamelu '!V262)-(Graafit!Z127*Graafit!W76)</f>
        <v>5.5662517863429315</v>
      </c>
      <c r="V262" s="82">
        <f>(O262+'Muunnokset lin A C'!D28)</f>
        <v>5.5662517863429315</v>
      </c>
      <c r="W262" s="73">
        <f t="shared" ref="W262:W271" si="102">(V262/10)</f>
        <v>0.55662517863429317</v>
      </c>
      <c r="Y262" s="71">
        <f>(O262+'Muunnokset lin A C'!E28)</f>
        <v>45.96625178634293</v>
      </c>
      <c r="Z262" s="73">
        <f t="shared" ref="Z262:Z267" si="103">(Y262/10)</f>
        <v>4.5966251786342927</v>
      </c>
    </row>
    <row r="263" spans="2:26" ht="18.75">
      <c r="B263" s="70">
        <f t="shared" ref="B263:B271" si="104">(B262)</f>
        <v>2200</v>
      </c>
      <c r="C263" s="4">
        <v>31.5</v>
      </c>
      <c r="D263" s="114">
        <f t="shared" si="98"/>
        <v>121.12470540278704</v>
      </c>
      <c r="F263" s="44">
        <f>(0.08/1000)*B263</f>
        <v>0.17600000000000002</v>
      </c>
      <c r="H263" s="14">
        <v>5.2</v>
      </c>
      <c r="J263" s="44">
        <v>11</v>
      </c>
      <c r="L263" s="72">
        <f t="shared" si="99"/>
        <v>66.848453616444118</v>
      </c>
      <c r="N263" s="72">
        <f>(Graafit!V67*'Tuulivoimamelu '!O263)-(Graafit!Z67*Graafit!W77)</f>
        <v>48.300251786342926</v>
      </c>
      <c r="O263" s="72">
        <f t="shared" si="100"/>
        <v>48.300251786342926</v>
      </c>
      <c r="P263" s="73">
        <f t="shared" si="101"/>
        <v>4.8300251786342923</v>
      </c>
      <c r="U263" s="72">
        <f>(Graafit!V127*'Tuulivoimamelu '!V263)-(Graafit!Z127*Graafit!W77)</f>
        <v>8.8002517863429262</v>
      </c>
      <c r="V263" s="82">
        <f>(O263+'Muunnokset lin A C'!D29)</f>
        <v>8.8002517863429262</v>
      </c>
      <c r="W263" s="73">
        <f t="shared" si="102"/>
        <v>0.88002517863429264</v>
      </c>
      <c r="Y263" s="71">
        <f>(O263+'Muunnokset lin A C'!E29)</f>
        <v>45.300251786342926</v>
      </c>
      <c r="Z263" s="73">
        <f t="shared" si="103"/>
        <v>4.5300251786342924</v>
      </c>
    </row>
    <row r="264" spans="2:26" ht="18.75">
      <c r="B264" s="70">
        <f t="shared" si="104"/>
        <v>2200</v>
      </c>
      <c r="C264" s="4">
        <v>63</v>
      </c>
      <c r="D264" s="114">
        <f t="shared" si="98"/>
        <v>120.52470540278705</v>
      </c>
      <c r="F264" s="44">
        <f>(0.1/1000)*B264</f>
        <v>0.22</v>
      </c>
      <c r="H264" s="14">
        <v>4.3</v>
      </c>
      <c r="J264" s="44">
        <v>11</v>
      </c>
      <c r="L264" s="72">
        <f t="shared" si="99"/>
        <v>66.848453616444118</v>
      </c>
      <c r="N264" s="72">
        <f>(Graafit!V67*'Tuulivoimamelu '!O264)-(Graafit!Z67*Graafit!W78)</f>
        <v>46.756251786342929</v>
      </c>
      <c r="O264" s="72">
        <f t="shared" si="100"/>
        <v>46.756251786342929</v>
      </c>
      <c r="P264" s="73">
        <f t="shared" si="101"/>
        <v>4.6756251786342933</v>
      </c>
      <c r="U264" s="72">
        <f>(Graafit!V127*'Tuulivoimamelu '!V264)-(Graafit!Z127*Graafit!W78)</f>
        <v>20.55625178634293</v>
      </c>
      <c r="V264" s="82">
        <f>(O264+'Muunnokset lin A C'!D32)</f>
        <v>20.55625178634293</v>
      </c>
      <c r="W264" s="73">
        <f t="shared" si="102"/>
        <v>2.0556251786342932</v>
      </c>
      <c r="Y264" s="71">
        <f>(O264+'Muunnokset lin A C'!E32)</f>
        <v>45.956251786342932</v>
      </c>
      <c r="Z264" s="73">
        <f t="shared" si="103"/>
        <v>4.5956251786342932</v>
      </c>
    </row>
    <row r="265" spans="2:26" ht="18.75">
      <c r="B265" s="70">
        <f t="shared" si="104"/>
        <v>2200</v>
      </c>
      <c r="C265" s="4">
        <v>125</v>
      </c>
      <c r="D265" s="114">
        <f t="shared" si="98"/>
        <v>116.02470540278705</v>
      </c>
      <c r="F265" s="44">
        <f>(0.4/1000)*B265</f>
        <v>0.88</v>
      </c>
      <c r="H265" s="14">
        <v>1.8</v>
      </c>
      <c r="J265" s="44">
        <v>11</v>
      </c>
      <c r="L265" s="72">
        <f t="shared" si="99"/>
        <v>66.848453616444118</v>
      </c>
      <c r="N265" s="72">
        <f>(Graafit!V67*'Tuulivoimamelu '!O265)-(Graafit!Z67*Graafit!W79)</f>
        <v>39.096251786342933</v>
      </c>
      <c r="O265" s="72">
        <f t="shared" si="100"/>
        <v>39.096251786342933</v>
      </c>
      <c r="P265" s="73">
        <f t="shared" si="101"/>
        <v>3.9096251786342933</v>
      </c>
      <c r="U265" s="72">
        <f>(Graafit!V127*'Tuulivoimamelu '!V265)-(Graafit!Z127*Graafit!W79)</f>
        <v>22.896251786342933</v>
      </c>
      <c r="V265" s="82">
        <f>(O265+'Muunnokset lin A C'!D35)</f>
        <v>22.896251786342933</v>
      </c>
      <c r="W265" s="73">
        <f t="shared" si="102"/>
        <v>2.2896251786342932</v>
      </c>
      <c r="Y265" s="71">
        <f>(O265+'Muunnokset lin A C'!E35)</f>
        <v>38.89625178634293</v>
      </c>
      <c r="Z265" s="73">
        <f t="shared" si="103"/>
        <v>3.8896251786342928</v>
      </c>
    </row>
    <row r="266" spans="2:26" ht="18.75">
      <c r="B266" s="70">
        <f t="shared" si="104"/>
        <v>2200</v>
      </c>
      <c r="C266" s="4">
        <v>250</v>
      </c>
      <c r="D266" s="114">
        <f t="shared" si="98"/>
        <v>109.02470540278703</v>
      </c>
      <c r="F266" s="44">
        <f>(1/1000)*B266</f>
        <v>2.2000000000000002</v>
      </c>
      <c r="H266" s="14">
        <v>-0.5</v>
      </c>
      <c r="J266" s="44">
        <v>11</v>
      </c>
      <c r="L266" s="72">
        <f t="shared" si="99"/>
        <v>66.848453616444118</v>
      </c>
      <c r="N266" s="72">
        <f>(Graafit!V67*'Tuulivoimamelu '!O266)-(Graafit!Z67*Graafit!W80)</f>
        <v>28.476251786342914</v>
      </c>
      <c r="O266" s="72">
        <f t="shared" si="100"/>
        <v>28.476251786342914</v>
      </c>
      <c r="P266" s="73">
        <f t="shared" si="101"/>
        <v>2.8476251786342912</v>
      </c>
      <c r="U266" s="72">
        <f>(Graafit!V127*'Tuulivoimamelu '!V266)-(Graafit!Z127*Graafit!W80)</f>
        <v>19.876251786342912</v>
      </c>
      <c r="V266" s="82">
        <f>(O266+'Muunnokset lin A C'!D38)</f>
        <v>19.876251786342912</v>
      </c>
      <c r="W266" s="73">
        <f t="shared" si="102"/>
        <v>1.9876251786342913</v>
      </c>
      <c r="Y266" s="71">
        <f>(O266+'Muunnokset lin A C'!E38)</f>
        <v>28.476251786342914</v>
      </c>
      <c r="Z266" s="73">
        <f t="shared" si="103"/>
        <v>2.8476251786342912</v>
      </c>
    </row>
    <row r="267" spans="2:26" ht="18.75">
      <c r="B267" s="70">
        <f t="shared" si="104"/>
        <v>2200</v>
      </c>
      <c r="C267" s="4">
        <v>500</v>
      </c>
      <c r="D267" s="114">
        <f t="shared" si="98"/>
        <v>106.12470540278704</v>
      </c>
      <c r="F267" s="44">
        <f>(1.9/1000)*B267</f>
        <v>4.18</v>
      </c>
      <c r="H267" s="14">
        <v>-3</v>
      </c>
      <c r="J267" s="44">
        <v>11</v>
      </c>
      <c r="L267" s="72">
        <f t="shared" si="99"/>
        <v>66.848453616444118</v>
      </c>
      <c r="N267" s="72">
        <f>(Graafit!V67*'Tuulivoimamelu '!O267)</f>
        <v>21.096251786342918</v>
      </c>
      <c r="O267" s="72">
        <f t="shared" si="100"/>
        <v>21.096251786342918</v>
      </c>
      <c r="P267" s="73">
        <f t="shared" si="101"/>
        <v>2.1096251786342917</v>
      </c>
      <c r="U267" s="72">
        <f>(Graafit!V127*'Tuulivoimamelu '!V267)</f>
        <v>17.896251786342919</v>
      </c>
      <c r="V267" s="82">
        <f>(O267+'Muunnokset lin A C'!D39)</f>
        <v>17.896251786342919</v>
      </c>
      <c r="W267" s="73">
        <f t="shared" si="102"/>
        <v>1.7896251786342918</v>
      </c>
      <c r="Y267" s="71">
        <f>(O267+'Muunnokset lin A C'!E39)</f>
        <v>21.096251786342918</v>
      </c>
      <c r="Z267" s="73">
        <f t="shared" si="103"/>
        <v>2.1096251786342917</v>
      </c>
    </row>
    <row r="268" spans="2:26" ht="18.75">
      <c r="B268" s="70">
        <f t="shared" si="104"/>
        <v>2200</v>
      </c>
      <c r="C268" s="4">
        <v>1000</v>
      </c>
      <c r="D268" s="114">
        <f t="shared" si="98"/>
        <v>105.72470540278704</v>
      </c>
      <c r="F268" s="44">
        <f>(3.7/1000)*B268</f>
        <v>8.14</v>
      </c>
      <c r="H268" s="14">
        <v>-1</v>
      </c>
      <c r="J268" s="44">
        <v>11</v>
      </c>
      <c r="L268" s="72">
        <f t="shared" si="99"/>
        <v>66.848453616444118</v>
      </c>
      <c r="N268" s="72">
        <f>(Graafit!V67*'Tuulivoimamelu '!O268)</f>
        <v>18.736251786342919</v>
      </c>
      <c r="O268" s="72">
        <f t="shared" si="100"/>
        <v>18.736251786342919</v>
      </c>
      <c r="P268" s="73">
        <f t="shared" si="101"/>
        <v>1.8736251786342919</v>
      </c>
      <c r="U268" s="72">
        <f>(Graafit!V127*'Tuulivoimamelu '!V268)</f>
        <v>18.736251786342919</v>
      </c>
      <c r="V268" s="82">
        <f>(O268+'Muunnokset lin A C'!D40)</f>
        <v>18.736251786342919</v>
      </c>
      <c r="W268" s="73">
        <f t="shared" si="102"/>
        <v>1.8736251786342919</v>
      </c>
      <c r="Y268" s="71">
        <f>(O268+'Muunnokset lin A C'!E40)</f>
        <v>18.736251786342919</v>
      </c>
      <c r="Z268" s="73">
        <f t="shared" ref="Z268:Z271" si="105">(Y268/10)</f>
        <v>1.8736251786342919</v>
      </c>
    </row>
    <row r="269" spans="2:26" ht="18.75">
      <c r="B269" s="70">
        <f t="shared" si="104"/>
        <v>2200</v>
      </c>
      <c r="C269" s="4">
        <v>2000</v>
      </c>
      <c r="D269" s="114">
        <f t="shared" si="98"/>
        <v>102.42470540278704</v>
      </c>
      <c r="F269" s="44">
        <f>(9.7/1000)*B269</f>
        <v>21.339999999999996</v>
      </c>
      <c r="H269" s="14">
        <v>0</v>
      </c>
      <c r="J269" s="44">
        <v>11</v>
      </c>
      <c r="L269" s="72">
        <f t="shared" si="99"/>
        <v>66.848453616444118</v>
      </c>
      <c r="N269" s="72">
        <f>(Graafit!V67*'Tuulivoimamelu '!O269)</f>
        <v>3.2362517863429332</v>
      </c>
      <c r="O269" s="72">
        <f t="shared" si="100"/>
        <v>3.2362517863429332</v>
      </c>
      <c r="P269" s="73">
        <f t="shared" si="101"/>
        <v>0.3236251786342933</v>
      </c>
      <c r="U269" s="72">
        <f>(Graafit!V127*'Tuulivoimamelu '!V269)</f>
        <v>4.4362517863429334</v>
      </c>
      <c r="V269" s="82">
        <f>(O269+'Muunnokset lin A C'!D41)</f>
        <v>4.4362517863429334</v>
      </c>
      <c r="W269" s="73">
        <f t="shared" si="102"/>
        <v>0.44362517863429335</v>
      </c>
      <c r="Y269" s="71">
        <f>(O269+'Muunnokset lin A C'!E41)</f>
        <v>3.036251786342933</v>
      </c>
      <c r="Z269" s="73">
        <f t="shared" si="105"/>
        <v>0.30362517863429328</v>
      </c>
    </row>
    <row r="270" spans="2:26" ht="18.75">
      <c r="B270" s="70">
        <f t="shared" si="104"/>
        <v>2200</v>
      </c>
      <c r="C270" s="4">
        <v>4000</v>
      </c>
      <c r="D270" s="114">
        <f t="shared" si="98"/>
        <v>97.724705402787038</v>
      </c>
      <c r="F270" s="44">
        <f>(32.8/1000)*B270</f>
        <v>72.16</v>
      </c>
      <c r="H270" s="14">
        <v>0</v>
      </c>
      <c r="J270" s="44">
        <v>11</v>
      </c>
      <c r="L270" s="72">
        <f t="shared" si="99"/>
        <v>66.848453616444118</v>
      </c>
      <c r="N270" s="72">
        <f>(Graafit!V67*'Tuulivoimamelu '!O270)</f>
        <v>-52.283748213657077</v>
      </c>
      <c r="O270" s="72">
        <f t="shared" si="100"/>
        <v>-52.283748213657077</v>
      </c>
      <c r="P270" s="73">
        <f t="shared" si="101"/>
        <v>-5.2283748213657075</v>
      </c>
      <c r="U270" s="72">
        <f>(Graafit!V127*'Tuulivoimamelu '!V270)</f>
        <v>-51.283748213657077</v>
      </c>
      <c r="V270" s="82">
        <f>(O270+'Muunnokset lin A C'!D42)</f>
        <v>-51.283748213657077</v>
      </c>
      <c r="W270" s="73">
        <f t="shared" si="102"/>
        <v>-5.1283748213657079</v>
      </c>
      <c r="Y270" s="71">
        <f>(O270+'Muunnokset lin A C'!E42)</f>
        <v>-53.083748213657074</v>
      </c>
      <c r="Z270" s="73">
        <f t="shared" si="105"/>
        <v>-5.3083748213657076</v>
      </c>
    </row>
    <row r="271" spans="2:26" ht="18.75">
      <c r="B271" s="70">
        <f t="shared" si="104"/>
        <v>2200</v>
      </c>
      <c r="C271" s="4">
        <v>8000</v>
      </c>
      <c r="D271" s="114">
        <f t="shared" si="98"/>
        <v>92.024705402787035</v>
      </c>
      <c r="F271" s="44">
        <f>(117/1000)*B271</f>
        <v>257.40000000000003</v>
      </c>
      <c r="H271" s="14">
        <v>0</v>
      </c>
      <c r="J271" s="44">
        <v>11</v>
      </c>
      <c r="L271" s="72">
        <f t="shared" si="99"/>
        <v>66.848453616444118</v>
      </c>
      <c r="N271" s="72">
        <f>(Graafit!V67*'Tuulivoimamelu '!O271)</f>
        <v>-243.2237482136571</v>
      </c>
      <c r="O271" s="72">
        <f t="shared" si="100"/>
        <v>-243.2237482136571</v>
      </c>
      <c r="P271" s="73">
        <f t="shared" si="101"/>
        <v>-24.32237482136571</v>
      </c>
      <c r="U271" s="72">
        <f>(Graafit!V127*'Tuulivoimamelu '!V271)</f>
        <v>-244.3237482136571</v>
      </c>
      <c r="V271" s="82">
        <f>(O271+'Muunnokset lin A C'!D43)</f>
        <v>-244.3237482136571</v>
      </c>
      <c r="W271" s="73">
        <f t="shared" si="102"/>
        <v>-24.432374821365709</v>
      </c>
      <c r="Y271" s="71">
        <f>(O271+'Muunnokset lin A C'!E43)</f>
        <v>-246.2237482136571</v>
      </c>
      <c r="Z271" s="73">
        <f t="shared" si="105"/>
        <v>-24.62237482136571</v>
      </c>
    </row>
    <row r="273" spans="4:30" ht="21">
      <c r="N273" s="76">
        <f>(B261)</f>
        <v>2200</v>
      </c>
      <c r="O273" s="74">
        <f>(10*LOG(10^P261+10^P262+10^P263+10^P264+10^P265+10^P266+10^P267+10^P268+10^P269+10^P270+10^P271))</f>
        <v>57.427474054486247</v>
      </c>
      <c r="P273" s="75" t="s">
        <v>4</v>
      </c>
      <c r="R273" s="80">
        <f>(10*LOG(10^P261+10^P262+10^P263+10^P264+10^P265+10^P266))</f>
        <v>57.425859384406763</v>
      </c>
      <c r="S273" s="81" t="s">
        <v>4</v>
      </c>
      <c r="T273" s="17"/>
      <c r="U273" s="18"/>
      <c r="V273" s="74">
        <f>(10*LOG(10^W261+10^W262+10^W263+10^W264+10^W265+10^W266+10^W267+10^W268+10^W269+10^W270+10^W271))</f>
        <v>27.473472059953078</v>
      </c>
      <c r="W273" s="75" t="s">
        <v>2</v>
      </c>
      <c r="Y273" s="74">
        <f>(10*LOG(10^Z261+10^Z262+10^Z263+10^Z264+10^Z265+10^Z266+10^Z267+10^Z268+10^Z269+10^Z270+10^Z271))</f>
        <v>52.972729624323598</v>
      </c>
      <c r="Z273" s="75" t="s">
        <v>3</v>
      </c>
      <c r="AB273" s="1" t="s">
        <v>39</v>
      </c>
      <c r="AD273" s="83">
        <f>(Y273-V273)</f>
        <v>25.49925756437052</v>
      </c>
    </row>
    <row r="274" spans="4:30">
      <c r="D274" s="71"/>
      <c r="R274" s="20" t="s">
        <v>38</v>
      </c>
      <c r="S274" s="21"/>
      <c r="T274" s="21"/>
      <c r="U274" s="22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R14:AK52"/>
  <sheetViews>
    <sheetView zoomScale="80" zoomScaleNormal="80" workbookViewId="0">
      <selection activeCell="A2" sqref="A2"/>
    </sheetView>
  </sheetViews>
  <sheetFormatPr defaultRowHeight="15"/>
  <sheetData>
    <row r="14" spans="31:37">
      <c r="AE14" s="16"/>
      <c r="AF14" s="17"/>
      <c r="AG14" s="17"/>
      <c r="AH14" s="17"/>
      <c r="AI14" s="17"/>
      <c r="AJ14" s="17"/>
      <c r="AK14" s="18"/>
    </row>
    <row r="15" spans="31:37" ht="18.75">
      <c r="AE15" s="30"/>
      <c r="AF15" s="31" t="s">
        <v>11</v>
      </c>
      <c r="AG15" s="19"/>
      <c r="AH15" s="19"/>
      <c r="AI15" s="19"/>
      <c r="AJ15" s="19"/>
      <c r="AK15" s="32"/>
    </row>
    <row r="16" spans="31:37">
      <c r="AE16" s="33" t="s">
        <v>12</v>
      </c>
      <c r="AF16" s="34" t="s">
        <v>4</v>
      </c>
      <c r="AG16" s="34" t="s">
        <v>2</v>
      </c>
      <c r="AH16" s="34" t="s">
        <v>13</v>
      </c>
      <c r="AI16" s="19"/>
      <c r="AJ16" s="19"/>
      <c r="AK16" s="32"/>
    </row>
    <row r="17" spans="18:37">
      <c r="R17" s="39"/>
      <c r="S17" s="39"/>
      <c r="T17" s="39"/>
      <c r="U17" s="39"/>
      <c r="V17" s="39"/>
      <c r="W17" s="39"/>
      <c r="X17" s="39"/>
      <c r="AE17" s="30"/>
      <c r="AF17" s="19"/>
      <c r="AG17" s="19"/>
      <c r="AH17" s="19"/>
      <c r="AI17" s="19"/>
      <c r="AJ17" s="19"/>
      <c r="AK17" s="32"/>
    </row>
    <row r="18" spans="18:37" ht="18.75">
      <c r="R18" s="39"/>
      <c r="S18" s="40"/>
      <c r="T18" s="39"/>
      <c r="U18" s="39"/>
      <c r="V18" s="39"/>
      <c r="W18" s="39"/>
      <c r="X18" s="39"/>
      <c r="AE18" s="2">
        <v>20</v>
      </c>
      <c r="AF18" s="42">
        <v>74</v>
      </c>
      <c r="AG18" s="4">
        <f>(AF18+'Muunnokset lin A C'!D27)</f>
        <v>23.6</v>
      </c>
      <c r="AH18" s="19">
        <f>(AG18/10)</f>
        <v>2.3600000000000003</v>
      </c>
      <c r="AI18" s="36"/>
      <c r="AJ18" s="19"/>
      <c r="AK18" s="32"/>
    </row>
    <row r="19" spans="18:37" ht="18.75">
      <c r="R19" s="41"/>
      <c r="S19" s="41"/>
      <c r="T19" s="41"/>
      <c r="U19" s="41"/>
      <c r="V19" s="39"/>
      <c r="W19" s="39"/>
      <c r="X19" s="39"/>
      <c r="AE19" s="2">
        <v>25</v>
      </c>
      <c r="AF19" s="4">
        <v>64</v>
      </c>
      <c r="AG19" s="4">
        <f>(AF19+'Muunnokset lin A C'!D28)</f>
        <v>19.200000000000003</v>
      </c>
      <c r="AH19" s="19">
        <f t="shared" ref="AH19:AH28" si="0">(AG19/10)</f>
        <v>1.9200000000000004</v>
      </c>
      <c r="AI19" s="19"/>
      <c r="AJ19" s="19"/>
      <c r="AK19" s="32"/>
    </row>
    <row r="20" spans="18:37" ht="18.75">
      <c r="R20" s="39"/>
      <c r="S20" s="39"/>
      <c r="T20" s="39"/>
      <c r="U20" s="39"/>
      <c r="V20" s="39"/>
      <c r="W20" s="39"/>
      <c r="X20" s="39"/>
      <c r="AE20" s="2">
        <v>31.5</v>
      </c>
      <c r="AF20" s="4">
        <v>56</v>
      </c>
      <c r="AG20" s="4">
        <f>(AF20+'Muunnokset lin A C'!D29)</f>
        <v>16.5</v>
      </c>
      <c r="AH20" s="19">
        <f t="shared" si="0"/>
        <v>1.65</v>
      </c>
      <c r="AI20" s="19"/>
      <c r="AJ20" s="19"/>
      <c r="AK20" s="32"/>
    </row>
    <row r="21" spans="18:37" ht="18.75">
      <c r="R21" s="42"/>
      <c r="S21" s="42"/>
      <c r="T21" s="42"/>
      <c r="U21" s="39"/>
      <c r="V21" s="43"/>
      <c r="W21" s="39"/>
      <c r="X21" s="39"/>
      <c r="AE21" s="2">
        <v>40</v>
      </c>
      <c r="AF21" s="4">
        <v>49</v>
      </c>
      <c r="AG21" s="4">
        <f>(AF21+'Muunnokset lin A C'!D30)</f>
        <v>14.399999999999999</v>
      </c>
      <c r="AH21" s="19">
        <f t="shared" si="0"/>
        <v>1.44</v>
      </c>
      <c r="AI21" s="19"/>
      <c r="AJ21" s="19"/>
      <c r="AK21" s="32"/>
    </row>
    <row r="22" spans="18:37" ht="18.75">
      <c r="R22" s="42"/>
      <c r="S22" s="42"/>
      <c r="T22" s="42"/>
      <c r="U22" s="39"/>
      <c r="V22" s="39"/>
      <c r="W22" s="39"/>
      <c r="X22" s="39"/>
      <c r="AE22" s="2">
        <v>50</v>
      </c>
      <c r="AF22" s="4">
        <v>44</v>
      </c>
      <c r="AG22" s="4">
        <f>(AF22+'Muunnokset lin A C'!D31)</f>
        <v>13.8</v>
      </c>
      <c r="AH22" s="19">
        <f t="shared" si="0"/>
        <v>1.3800000000000001</v>
      </c>
      <c r="AI22" s="19"/>
      <c r="AJ22" s="19"/>
      <c r="AK22" s="32"/>
    </row>
    <row r="23" spans="18:37" ht="18.75">
      <c r="R23" s="42"/>
      <c r="S23" s="42"/>
      <c r="T23" s="42"/>
      <c r="U23" s="39"/>
      <c r="V23" s="39"/>
      <c r="W23" s="39"/>
      <c r="X23" s="39"/>
      <c r="AE23" s="2">
        <v>63</v>
      </c>
      <c r="AF23" s="4">
        <v>42</v>
      </c>
      <c r="AG23" s="4">
        <f>(AF23+'Muunnokset lin A C'!D32)</f>
        <v>15.8</v>
      </c>
      <c r="AH23" s="19">
        <f t="shared" si="0"/>
        <v>1.58</v>
      </c>
      <c r="AI23" s="19"/>
      <c r="AJ23" s="19"/>
      <c r="AK23" s="32"/>
    </row>
    <row r="24" spans="18:37" ht="18.75">
      <c r="R24" s="42"/>
      <c r="S24" s="42"/>
      <c r="T24" s="42"/>
      <c r="U24" s="39"/>
      <c r="V24" s="39"/>
      <c r="W24" s="39"/>
      <c r="X24" s="39"/>
      <c r="AE24" s="2">
        <v>80</v>
      </c>
      <c r="AF24" s="4">
        <v>40</v>
      </c>
      <c r="AG24" s="4">
        <f>(AF24+'Muunnokset lin A C'!D33)</f>
        <v>17.600000000000001</v>
      </c>
      <c r="AH24" s="19">
        <f t="shared" si="0"/>
        <v>1.7600000000000002</v>
      </c>
      <c r="AI24" s="19"/>
      <c r="AJ24" s="19"/>
      <c r="AK24" s="32"/>
    </row>
    <row r="25" spans="18:37" ht="18.75">
      <c r="R25" s="42"/>
      <c r="S25" s="42"/>
      <c r="T25" s="42"/>
      <c r="U25" s="39"/>
      <c r="V25" s="39"/>
      <c r="W25" s="39"/>
      <c r="X25" s="39"/>
      <c r="AE25" s="2">
        <v>100</v>
      </c>
      <c r="AF25" s="4">
        <v>38</v>
      </c>
      <c r="AG25" s="4">
        <f>(AF25+'Muunnokset lin A C'!D34)</f>
        <v>18.899999999999999</v>
      </c>
      <c r="AH25" s="19">
        <f t="shared" si="0"/>
        <v>1.89</v>
      </c>
      <c r="AI25" s="19"/>
      <c r="AJ25" s="19"/>
      <c r="AK25" s="32"/>
    </row>
    <row r="26" spans="18:37" ht="18.75">
      <c r="R26" s="42"/>
      <c r="S26" s="42"/>
      <c r="T26" s="42"/>
      <c r="U26" s="39"/>
      <c r="V26" s="39"/>
      <c r="W26" s="39"/>
      <c r="X26" s="39"/>
      <c r="AE26" s="2">
        <v>125</v>
      </c>
      <c r="AF26" s="4">
        <v>36</v>
      </c>
      <c r="AG26" s="4">
        <f>(AF26+'Muunnokset lin A C'!D35)</f>
        <v>19.8</v>
      </c>
      <c r="AH26" s="19">
        <f t="shared" si="0"/>
        <v>1.98</v>
      </c>
      <c r="AI26" s="19"/>
      <c r="AJ26" s="19"/>
      <c r="AK26" s="32"/>
    </row>
    <row r="27" spans="18:37" ht="18.75">
      <c r="R27" s="42"/>
      <c r="S27" s="42"/>
      <c r="T27" s="42"/>
      <c r="U27" s="39"/>
      <c r="V27" s="39"/>
      <c r="W27" s="39"/>
      <c r="X27" s="39"/>
      <c r="AE27" s="2">
        <v>160</v>
      </c>
      <c r="AF27" s="4">
        <v>34</v>
      </c>
      <c r="AG27" s="4">
        <f>(AF27+'Muunnokset lin A C'!D36)</f>
        <v>20.8</v>
      </c>
      <c r="AH27" s="19">
        <f t="shared" si="0"/>
        <v>2.08</v>
      </c>
      <c r="AI27" s="19"/>
      <c r="AJ27" s="19"/>
      <c r="AK27" s="32"/>
    </row>
    <row r="28" spans="18:37" ht="18.75">
      <c r="R28" s="42"/>
      <c r="S28" s="42"/>
      <c r="T28" s="42"/>
      <c r="U28" s="39"/>
      <c r="V28" s="39"/>
      <c r="W28" s="39"/>
      <c r="X28" s="39"/>
      <c r="AE28" s="2">
        <v>200</v>
      </c>
      <c r="AF28" s="4">
        <v>32</v>
      </c>
      <c r="AG28" s="4">
        <f>(AF28+'Muunnokset lin A C'!D37)</f>
        <v>21.2</v>
      </c>
      <c r="AH28" s="19">
        <f t="shared" si="0"/>
        <v>2.12</v>
      </c>
      <c r="AI28" s="19"/>
      <c r="AJ28" s="19"/>
      <c r="AK28" s="32"/>
    </row>
    <row r="29" spans="18:37" ht="18.75">
      <c r="R29" s="42"/>
      <c r="S29" s="42"/>
      <c r="T29" s="42"/>
      <c r="U29" s="39"/>
      <c r="V29" s="39"/>
      <c r="W29" s="39"/>
      <c r="X29" s="39"/>
      <c r="AE29" s="30"/>
      <c r="AF29" s="19"/>
      <c r="AG29" s="19"/>
      <c r="AH29" s="19"/>
      <c r="AI29" s="19"/>
      <c r="AJ29" s="19"/>
      <c r="AK29" s="32"/>
    </row>
    <row r="30" spans="18:37" ht="18.75">
      <c r="R30" s="42"/>
      <c r="S30" s="42"/>
      <c r="T30" s="42"/>
      <c r="U30" s="39"/>
      <c r="V30" s="39"/>
      <c r="W30" s="39"/>
      <c r="X30" s="39"/>
      <c r="AE30" s="37" t="s">
        <v>14</v>
      </c>
      <c r="AF30" s="38"/>
      <c r="AG30" s="84">
        <f>(10*LOG((10^AH18+10^AH19+10^AH20+10^AH21+10^AH22+10^AH23+10^AH24+10^AH25+10^AH26+10^AH27+10^AH28)))</f>
        <v>29.681097333741203</v>
      </c>
      <c r="AH30" s="35" t="s">
        <v>15</v>
      </c>
      <c r="AI30" s="38"/>
      <c r="AJ30" s="38"/>
      <c r="AK30" s="32"/>
    </row>
    <row r="31" spans="18:37" ht="18.75">
      <c r="R31" s="42"/>
      <c r="S31" s="42"/>
      <c r="T31" s="42"/>
      <c r="U31" s="39"/>
      <c r="V31" s="39"/>
      <c r="W31" s="39"/>
      <c r="X31" s="39"/>
      <c r="AE31" s="20"/>
      <c r="AF31" s="21"/>
      <c r="AG31" s="21"/>
      <c r="AH31" s="21"/>
      <c r="AI31" s="21"/>
      <c r="AJ31" s="21"/>
      <c r="AK31" s="22"/>
    </row>
    <row r="32" spans="18:37">
      <c r="R32" s="39"/>
      <c r="S32" s="39"/>
      <c r="T32" s="39"/>
      <c r="U32" s="39"/>
      <c r="V32" s="39"/>
      <c r="W32" s="39"/>
      <c r="X32" s="39"/>
    </row>
    <row r="33" spans="18:37" ht="18.75">
      <c r="R33" s="42"/>
      <c r="S33" s="39"/>
      <c r="T33" s="42"/>
      <c r="U33" s="42"/>
      <c r="V33" s="39"/>
      <c r="W33" s="39"/>
      <c r="X33" s="39"/>
    </row>
    <row r="34" spans="18:37">
      <c r="R34" s="39"/>
      <c r="S34" s="39"/>
      <c r="T34" s="39"/>
      <c r="U34" s="39"/>
      <c r="V34" s="39"/>
      <c r="W34" s="39"/>
      <c r="X34" s="39"/>
    </row>
    <row r="35" spans="18:37">
      <c r="AE35" s="16"/>
      <c r="AF35" s="17"/>
      <c r="AG35" s="17"/>
      <c r="AH35" s="17"/>
      <c r="AI35" s="17"/>
      <c r="AJ35" s="17"/>
      <c r="AK35" s="18"/>
    </row>
    <row r="36" spans="18:37" ht="18.75">
      <c r="AE36" s="30"/>
      <c r="AF36" s="31" t="s">
        <v>16</v>
      </c>
      <c r="AG36" s="19"/>
      <c r="AH36" s="19"/>
      <c r="AI36" s="19"/>
      <c r="AJ36" s="19"/>
      <c r="AK36" s="32"/>
    </row>
    <row r="37" spans="18:37">
      <c r="AE37" s="33" t="s">
        <v>12</v>
      </c>
      <c r="AF37" s="34" t="s">
        <v>4</v>
      </c>
      <c r="AG37" s="34" t="s">
        <v>2</v>
      </c>
      <c r="AH37" s="34" t="s">
        <v>13</v>
      </c>
      <c r="AI37" s="19"/>
      <c r="AJ37" s="19"/>
      <c r="AK37" s="32"/>
    </row>
    <row r="38" spans="18:37">
      <c r="AE38" s="30"/>
      <c r="AF38" s="19"/>
      <c r="AG38" s="19"/>
      <c r="AH38" s="19"/>
      <c r="AI38" s="19"/>
      <c r="AJ38" s="19"/>
      <c r="AK38" s="32"/>
    </row>
    <row r="39" spans="18:37" ht="18.75">
      <c r="AE39" s="2">
        <v>20</v>
      </c>
      <c r="AF39" s="42">
        <v>79</v>
      </c>
      <c r="AG39" s="4">
        <f>(AF39+'Muunnokset lin A C'!D27)</f>
        <v>28.6</v>
      </c>
      <c r="AH39" s="19">
        <f>(AG39/10)</f>
        <v>2.8600000000000003</v>
      </c>
      <c r="AI39" s="36"/>
      <c r="AJ39" s="19"/>
      <c r="AK39" s="32"/>
    </row>
    <row r="40" spans="18:37" ht="18.75">
      <c r="AE40" s="2">
        <v>25</v>
      </c>
      <c r="AF40" s="4">
        <v>69</v>
      </c>
      <c r="AG40" s="4">
        <f>(AF40+'Muunnokset lin A C'!D28)</f>
        <v>24.200000000000003</v>
      </c>
      <c r="AH40" s="19">
        <f t="shared" ref="AH40:AH49" si="1">(AG40/10)</f>
        <v>2.4200000000000004</v>
      </c>
      <c r="AI40" s="19"/>
      <c r="AJ40" s="19"/>
      <c r="AK40" s="32"/>
    </row>
    <row r="41" spans="18:37" ht="18.75">
      <c r="AE41" s="2">
        <v>31.5</v>
      </c>
      <c r="AF41" s="4">
        <v>61</v>
      </c>
      <c r="AG41" s="4">
        <f>(AF41+'Muunnokset lin A C'!D29)</f>
        <v>21.5</v>
      </c>
      <c r="AH41" s="19">
        <f t="shared" si="1"/>
        <v>2.15</v>
      </c>
      <c r="AI41" s="19"/>
      <c r="AJ41" s="19"/>
      <c r="AK41" s="32"/>
    </row>
    <row r="42" spans="18:37" ht="18.75">
      <c r="AE42" s="2">
        <v>40</v>
      </c>
      <c r="AF42" s="4">
        <v>54</v>
      </c>
      <c r="AG42" s="4">
        <f>(AF42+'Muunnokset lin A C'!D30)</f>
        <v>19.399999999999999</v>
      </c>
      <c r="AH42" s="19">
        <f t="shared" si="1"/>
        <v>1.94</v>
      </c>
      <c r="AI42" s="19"/>
      <c r="AJ42" s="19"/>
      <c r="AK42" s="32"/>
    </row>
    <row r="43" spans="18:37" ht="18.75">
      <c r="AE43" s="2">
        <v>50</v>
      </c>
      <c r="AF43" s="4">
        <v>49</v>
      </c>
      <c r="AG43" s="4">
        <f>(AF43+'Muunnokset lin A C'!D31)</f>
        <v>18.8</v>
      </c>
      <c r="AH43" s="19">
        <f t="shared" si="1"/>
        <v>1.8800000000000001</v>
      </c>
      <c r="AI43" s="19"/>
      <c r="AJ43" s="19"/>
      <c r="AK43" s="32"/>
    </row>
    <row r="44" spans="18:37" ht="18.75">
      <c r="AE44" s="2">
        <v>63</v>
      </c>
      <c r="AF44" s="4">
        <v>47</v>
      </c>
      <c r="AG44" s="4">
        <f>(AF44+'Muunnokset lin A C'!D32)</f>
        <v>20.8</v>
      </c>
      <c r="AH44" s="19">
        <f t="shared" si="1"/>
        <v>2.08</v>
      </c>
      <c r="AI44" s="19"/>
      <c r="AJ44" s="19"/>
      <c r="AK44" s="32"/>
    </row>
    <row r="45" spans="18:37" ht="18.75">
      <c r="AE45" s="2">
        <v>80</v>
      </c>
      <c r="AF45" s="4">
        <v>45</v>
      </c>
      <c r="AG45" s="4">
        <f>(AF45+'Muunnokset lin A C'!D33)</f>
        <v>22.6</v>
      </c>
      <c r="AH45" s="19">
        <f t="shared" si="1"/>
        <v>2.2600000000000002</v>
      </c>
      <c r="AI45" s="19"/>
      <c r="AJ45" s="19"/>
      <c r="AK45" s="32"/>
    </row>
    <row r="46" spans="18:37" ht="18.75">
      <c r="AE46" s="2">
        <v>100</v>
      </c>
      <c r="AF46" s="4">
        <v>43</v>
      </c>
      <c r="AG46" s="4">
        <f>(AF46+'Muunnokset lin A C'!D34)</f>
        <v>23.9</v>
      </c>
      <c r="AH46" s="19">
        <f t="shared" si="1"/>
        <v>2.3899999999999997</v>
      </c>
      <c r="AI46" s="19"/>
      <c r="AJ46" s="19"/>
      <c r="AK46" s="32"/>
    </row>
    <row r="47" spans="18:37" ht="18.75">
      <c r="AE47" s="2">
        <v>125</v>
      </c>
      <c r="AF47" s="4">
        <v>41</v>
      </c>
      <c r="AG47" s="4">
        <f>(AF47+'Muunnokset lin A C'!D35)</f>
        <v>24.8</v>
      </c>
      <c r="AH47" s="19">
        <f t="shared" si="1"/>
        <v>2.48</v>
      </c>
      <c r="AI47" s="19"/>
      <c r="AJ47" s="19"/>
      <c r="AK47" s="32"/>
    </row>
    <row r="48" spans="18:37" ht="18.75">
      <c r="AE48" s="2">
        <v>160</v>
      </c>
      <c r="AF48" s="4">
        <v>39</v>
      </c>
      <c r="AG48" s="4">
        <f>(AF48+'Muunnokset lin A C'!D36)</f>
        <v>25.8</v>
      </c>
      <c r="AH48" s="19">
        <f t="shared" si="1"/>
        <v>2.58</v>
      </c>
      <c r="AI48" s="19"/>
      <c r="AJ48" s="19"/>
      <c r="AK48" s="32"/>
    </row>
    <row r="49" spans="31:37" ht="18.75">
      <c r="AE49" s="2">
        <v>200</v>
      </c>
      <c r="AF49" s="4">
        <v>37</v>
      </c>
      <c r="AG49" s="4">
        <f>(AF49+'Muunnokset lin A C'!D37)</f>
        <v>26.2</v>
      </c>
      <c r="AH49" s="19">
        <f t="shared" si="1"/>
        <v>2.62</v>
      </c>
      <c r="AI49" s="19"/>
      <c r="AJ49" s="19"/>
      <c r="AK49" s="32"/>
    </row>
    <row r="50" spans="31:37">
      <c r="AE50" s="30"/>
      <c r="AF50" s="19"/>
      <c r="AG50" s="19"/>
      <c r="AH50" s="19"/>
      <c r="AI50" s="19"/>
      <c r="AJ50" s="19"/>
      <c r="AK50" s="32"/>
    </row>
    <row r="51" spans="31:37" ht="18.75">
      <c r="AE51" s="37" t="s">
        <v>14</v>
      </c>
      <c r="AF51" s="38"/>
      <c r="AG51" s="84">
        <f>(10*LOG((10^AH39+10^AH40+10^AH41+10^AH42+10^AH43+10^AH44+10^AH45+10^AH46+10^AH47+10^AH48+10^AH49)))</f>
        <v>34.681097333741199</v>
      </c>
      <c r="AH51" s="35" t="s">
        <v>17</v>
      </c>
      <c r="AI51" s="38"/>
      <c r="AJ51" s="38"/>
      <c r="AK51" s="32"/>
    </row>
    <row r="52" spans="31:37">
      <c r="AE52" s="20"/>
      <c r="AF52" s="21"/>
      <c r="AG52" s="21"/>
      <c r="AH52" s="21"/>
      <c r="AI52" s="21"/>
      <c r="AJ52" s="21"/>
      <c r="AK52" s="2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4:J34"/>
  <sheetViews>
    <sheetView zoomScale="90" zoomScaleNormal="90" workbookViewId="0">
      <selection activeCell="A2" sqref="A2"/>
    </sheetView>
  </sheetViews>
  <sheetFormatPr defaultRowHeight="15"/>
  <cols>
    <col min="2" max="2" width="17.7109375" customWidth="1"/>
  </cols>
  <sheetData>
    <row r="14" spans="2:10" ht="21">
      <c r="B14" s="45" t="s">
        <v>18</v>
      </c>
      <c r="C14" s="48">
        <v>63</v>
      </c>
      <c r="D14" s="48">
        <v>125</v>
      </c>
      <c r="E14" s="48">
        <v>250</v>
      </c>
      <c r="F14" s="48">
        <v>500</v>
      </c>
      <c r="G14" s="48">
        <v>1000</v>
      </c>
      <c r="H14" s="48">
        <v>2000</v>
      </c>
      <c r="I14" s="48">
        <v>4000</v>
      </c>
      <c r="J14" s="49">
        <v>8000</v>
      </c>
    </row>
    <row r="15" spans="2:10" ht="21">
      <c r="B15" s="46" t="s">
        <v>19</v>
      </c>
      <c r="C15" s="26">
        <v>0.1</v>
      </c>
      <c r="D15" s="26">
        <v>0.4</v>
      </c>
      <c r="E15" s="26">
        <v>1</v>
      </c>
      <c r="F15" s="26">
        <v>1.9</v>
      </c>
      <c r="G15" s="26">
        <v>3.7</v>
      </c>
      <c r="H15" s="26">
        <v>9.6999999999999993</v>
      </c>
      <c r="I15" s="26">
        <v>32.799999999999997</v>
      </c>
      <c r="J15" s="27">
        <v>117</v>
      </c>
    </row>
    <row r="16" spans="2:10" ht="21">
      <c r="B16" s="30"/>
      <c r="C16" s="26"/>
      <c r="D16" s="26"/>
      <c r="E16" s="26"/>
      <c r="F16" s="26"/>
      <c r="G16" s="26"/>
      <c r="H16" s="26"/>
      <c r="I16" s="26"/>
      <c r="J16" s="27"/>
    </row>
    <row r="17" spans="2:10" ht="21">
      <c r="B17" s="46" t="s">
        <v>20</v>
      </c>
      <c r="C17" s="26"/>
      <c r="D17" s="26"/>
      <c r="E17" s="26"/>
      <c r="F17" s="26"/>
      <c r="G17" s="26"/>
      <c r="H17" s="26"/>
      <c r="I17" s="26"/>
      <c r="J17" s="27"/>
    </row>
    <row r="18" spans="2:10" ht="21">
      <c r="B18" s="46">
        <v>100</v>
      </c>
      <c r="C18" s="50">
        <f>(0.1/1000)*B18</f>
        <v>0.01</v>
      </c>
      <c r="D18" s="50">
        <f>(0.4/1000)*B18</f>
        <v>0.04</v>
      </c>
      <c r="E18" s="50">
        <f>(1/1000)*B18</f>
        <v>0.1</v>
      </c>
      <c r="F18" s="50">
        <f>(1.9/1000)*B18</f>
        <v>0.19</v>
      </c>
      <c r="G18" s="50">
        <f>(3.7/1000)*B18</f>
        <v>0.37</v>
      </c>
      <c r="H18" s="50">
        <f>(9.7/1000)*B18</f>
        <v>0.96999999999999986</v>
      </c>
      <c r="I18" s="50">
        <f>(32.8/1000)*B18</f>
        <v>3.2799999999999994</v>
      </c>
      <c r="J18" s="51">
        <f>(117/1000)*B18</f>
        <v>11.700000000000001</v>
      </c>
    </row>
    <row r="19" spans="2:10" ht="21">
      <c r="B19" s="46">
        <v>200</v>
      </c>
      <c r="C19" s="50">
        <f t="shared" ref="C19:C33" si="0">(0.1/1000)*B19</f>
        <v>0.02</v>
      </c>
      <c r="D19" s="50">
        <f t="shared" ref="D19:D33" si="1">(0.4/1000)*B19</f>
        <v>0.08</v>
      </c>
      <c r="E19" s="50">
        <f t="shared" ref="E19:E33" si="2">(1/1000)*B19</f>
        <v>0.2</v>
      </c>
      <c r="F19" s="50">
        <f t="shared" ref="F19:F33" si="3">(1.9/1000)*B19</f>
        <v>0.38</v>
      </c>
      <c r="G19" s="50">
        <f t="shared" ref="G19:G33" si="4">(3.7/1000)*B19</f>
        <v>0.74</v>
      </c>
      <c r="H19" s="50">
        <f t="shared" ref="H19:H33" si="5">(9.7/1000)*B19</f>
        <v>1.9399999999999997</v>
      </c>
      <c r="I19" s="50">
        <f t="shared" ref="I19:I33" si="6">(32.8/1000)*B19</f>
        <v>6.5599999999999987</v>
      </c>
      <c r="J19" s="51">
        <f t="shared" ref="J19:J33" si="7">(117/1000)*B19</f>
        <v>23.400000000000002</v>
      </c>
    </row>
    <row r="20" spans="2:10" ht="21">
      <c r="B20" s="46">
        <v>400</v>
      </c>
      <c r="C20" s="50">
        <f t="shared" si="0"/>
        <v>0.04</v>
      </c>
      <c r="D20" s="50">
        <f t="shared" si="1"/>
        <v>0.16</v>
      </c>
      <c r="E20" s="50">
        <f t="shared" si="2"/>
        <v>0.4</v>
      </c>
      <c r="F20" s="50">
        <f t="shared" si="3"/>
        <v>0.76</v>
      </c>
      <c r="G20" s="50">
        <f t="shared" si="4"/>
        <v>1.48</v>
      </c>
      <c r="H20" s="50">
        <f t="shared" si="5"/>
        <v>3.8799999999999994</v>
      </c>
      <c r="I20" s="50">
        <f t="shared" si="6"/>
        <v>13.119999999999997</v>
      </c>
      <c r="J20" s="51">
        <f t="shared" si="7"/>
        <v>46.800000000000004</v>
      </c>
    </row>
    <row r="21" spans="2:10" ht="21">
      <c r="B21" s="46">
        <v>600</v>
      </c>
      <c r="C21" s="50">
        <f t="shared" si="0"/>
        <v>6.0000000000000005E-2</v>
      </c>
      <c r="D21" s="50">
        <f t="shared" si="1"/>
        <v>0.24000000000000002</v>
      </c>
      <c r="E21" s="50">
        <f t="shared" si="2"/>
        <v>0.6</v>
      </c>
      <c r="F21" s="50">
        <f t="shared" si="3"/>
        <v>1.1399999999999999</v>
      </c>
      <c r="G21" s="50">
        <f t="shared" si="4"/>
        <v>2.2200000000000002</v>
      </c>
      <c r="H21" s="50">
        <f t="shared" si="5"/>
        <v>5.8199999999999994</v>
      </c>
      <c r="I21" s="50">
        <f t="shared" si="6"/>
        <v>19.679999999999996</v>
      </c>
      <c r="J21" s="51">
        <f t="shared" si="7"/>
        <v>70.2</v>
      </c>
    </row>
    <row r="22" spans="2:10" ht="21">
      <c r="B22" s="46">
        <v>800</v>
      </c>
      <c r="C22" s="50">
        <f t="shared" si="0"/>
        <v>0.08</v>
      </c>
      <c r="D22" s="50">
        <f t="shared" si="1"/>
        <v>0.32</v>
      </c>
      <c r="E22" s="50">
        <f t="shared" si="2"/>
        <v>0.8</v>
      </c>
      <c r="F22" s="50">
        <f t="shared" si="3"/>
        <v>1.52</v>
      </c>
      <c r="G22" s="50">
        <f t="shared" si="4"/>
        <v>2.96</v>
      </c>
      <c r="H22" s="50">
        <f t="shared" si="5"/>
        <v>7.7599999999999989</v>
      </c>
      <c r="I22" s="50">
        <f t="shared" si="6"/>
        <v>26.239999999999995</v>
      </c>
      <c r="J22" s="51">
        <f t="shared" si="7"/>
        <v>93.600000000000009</v>
      </c>
    </row>
    <row r="23" spans="2:10" ht="21">
      <c r="B23" s="46">
        <v>1000</v>
      </c>
      <c r="C23" s="50">
        <f t="shared" si="0"/>
        <v>0.1</v>
      </c>
      <c r="D23" s="50">
        <f t="shared" si="1"/>
        <v>0.4</v>
      </c>
      <c r="E23" s="50">
        <f t="shared" si="2"/>
        <v>1</v>
      </c>
      <c r="F23" s="50">
        <f t="shared" si="3"/>
        <v>1.9</v>
      </c>
      <c r="G23" s="50">
        <f t="shared" si="4"/>
        <v>3.7</v>
      </c>
      <c r="H23" s="50">
        <f t="shared" si="5"/>
        <v>9.6999999999999993</v>
      </c>
      <c r="I23" s="50">
        <f t="shared" si="6"/>
        <v>32.799999999999997</v>
      </c>
      <c r="J23" s="51">
        <f t="shared" si="7"/>
        <v>117</v>
      </c>
    </row>
    <row r="24" spans="2:10" ht="21">
      <c r="B24" s="46">
        <v>1200</v>
      </c>
      <c r="C24" s="50">
        <f t="shared" si="0"/>
        <v>0.12000000000000001</v>
      </c>
      <c r="D24" s="50">
        <f t="shared" si="1"/>
        <v>0.48000000000000004</v>
      </c>
      <c r="E24" s="50">
        <f t="shared" si="2"/>
        <v>1.2</v>
      </c>
      <c r="F24" s="50">
        <f t="shared" si="3"/>
        <v>2.2799999999999998</v>
      </c>
      <c r="G24" s="50">
        <f t="shared" si="4"/>
        <v>4.4400000000000004</v>
      </c>
      <c r="H24" s="50">
        <f t="shared" si="5"/>
        <v>11.639999999999999</v>
      </c>
      <c r="I24" s="50">
        <f t="shared" si="6"/>
        <v>39.359999999999992</v>
      </c>
      <c r="J24" s="51">
        <f t="shared" si="7"/>
        <v>140.4</v>
      </c>
    </row>
    <row r="25" spans="2:10" ht="21">
      <c r="B25" s="46">
        <v>1400</v>
      </c>
      <c r="C25" s="50">
        <f t="shared" si="0"/>
        <v>0.14000000000000001</v>
      </c>
      <c r="D25" s="50">
        <f t="shared" si="1"/>
        <v>0.56000000000000005</v>
      </c>
      <c r="E25" s="50">
        <f t="shared" si="2"/>
        <v>1.4000000000000001</v>
      </c>
      <c r="F25" s="50">
        <f t="shared" si="3"/>
        <v>2.66</v>
      </c>
      <c r="G25" s="50">
        <f t="shared" si="4"/>
        <v>5.1800000000000006</v>
      </c>
      <c r="H25" s="50">
        <f t="shared" si="5"/>
        <v>13.579999999999998</v>
      </c>
      <c r="I25" s="50">
        <f t="shared" si="6"/>
        <v>45.919999999999995</v>
      </c>
      <c r="J25" s="51">
        <f t="shared" si="7"/>
        <v>163.80000000000001</v>
      </c>
    </row>
    <row r="26" spans="2:10" ht="21">
      <c r="B26" s="46">
        <v>1600</v>
      </c>
      <c r="C26" s="50">
        <f t="shared" si="0"/>
        <v>0.16</v>
      </c>
      <c r="D26" s="50">
        <f t="shared" si="1"/>
        <v>0.64</v>
      </c>
      <c r="E26" s="50">
        <f t="shared" si="2"/>
        <v>1.6</v>
      </c>
      <c r="F26" s="50">
        <f t="shared" si="3"/>
        <v>3.04</v>
      </c>
      <c r="G26" s="50">
        <f t="shared" si="4"/>
        <v>5.92</v>
      </c>
      <c r="H26" s="50">
        <f t="shared" si="5"/>
        <v>15.519999999999998</v>
      </c>
      <c r="I26" s="50">
        <f t="shared" si="6"/>
        <v>52.47999999999999</v>
      </c>
      <c r="J26" s="51">
        <f t="shared" si="7"/>
        <v>187.20000000000002</v>
      </c>
    </row>
    <row r="27" spans="2:10" ht="21">
      <c r="B27" s="46">
        <v>1800</v>
      </c>
      <c r="C27" s="50">
        <f t="shared" si="0"/>
        <v>0.18000000000000002</v>
      </c>
      <c r="D27" s="50">
        <f t="shared" si="1"/>
        <v>0.72000000000000008</v>
      </c>
      <c r="E27" s="50">
        <f t="shared" si="2"/>
        <v>1.8</v>
      </c>
      <c r="F27" s="50">
        <f t="shared" si="3"/>
        <v>3.42</v>
      </c>
      <c r="G27" s="50">
        <f t="shared" si="4"/>
        <v>6.66</v>
      </c>
      <c r="H27" s="50">
        <f t="shared" si="5"/>
        <v>17.459999999999997</v>
      </c>
      <c r="I27" s="50">
        <f t="shared" si="6"/>
        <v>59.039999999999992</v>
      </c>
      <c r="J27" s="51">
        <f t="shared" si="7"/>
        <v>210.60000000000002</v>
      </c>
    </row>
    <row r="28" spans="2:10" ht="21">
      <c r="B28" s="46">
        <v>2000</v>
      </c>
      <c r="C28" s="50">
        <f t="shared" si="0"/>
        <v>0.2</v>
      </c>
      <c r="D28" s="50">
        <f t="shared" si="1"/>
        <v>0.8</v>
      </c>
      <c r="E28" s="50">
        <f t="shared" si="2"/>
        <v>2</v>
      </c>
      <c r="F28" s="50">
        <f t="shared" si="3"/>
        <v>3.8</v>
      </c>
      <c r="G28" s="50">
        <f t="shared" si="4"/>
        <v>7.4</v>
      </c>
      <c r="H28" s="50">
        <f t="shared" si="5"/>
        <v>19.399999999999999</v>
      </c>
      <c r="I28" s="50">
        <f t="shared" si="6"/>
        <v>65.599999999999994</v>
      </c>
      <c r="J28" s="51">
        <f t="shared" si="7"/>
        <v>234</v>
      </c>
    </row>
    <row r="29" spans="2:10" ht="21">
      <c r="B29" s="46">
        <v>2200</v>
      </c>
      <c r="C29" s="50">
        <f t="shared" si="0"/>
        <v>0.22</v>
      </c>
      <c r="D29" s="50">
        <f t="shared" si="1"/>
        <v>0.88</v>
      </c>
      <c r="E29" s="50">
        <f t="shared" si="2"/>
        <v>2.2000000000000002</v>
      </c>
      <c r="F29" s="50">
        <f t="shared" si="3"/>
        <v>4.18</v>
      </c>
      <c r="G29" s="50">
        <f t="shared" si="4"/>
        <v>8.14</v>
      </c>
      <c r="H29" s="50">
        <f t="shared" si="5"/>
        <v>21.339999999999996</v>
      </c>
      <c r="I29" s="50">
        <f t="shared" si="6"/>
        <v>72.16</v>
      </c>
      <c r="J29" s="51">
        <f t="shared" si="7"/>
        <v>257.40000000000003</v>
      </c>
    </row>
    <row r="30" spans="2:10" ht="21">
      <c r="B30" s="46">
        <v>2400</v>
      </c>
      <c r="C30" s="50">
        <f t="shared" si="0"/>
        <v>0.24000000000000002</v>
      </c>
      <c r="D30" s="50">
        <f t="shared" si="1"/>
        <v>0.96000000000000008</v>
      </c>
      <c r="E30" s="50">
        <f t="shared" si="2"/>
        <v>2.4</v>
      </c>
      <c r="F30" s="50">
        <f t="shared" si="3"/>
        <v>4.5599999999999996</v>
      </c>
      <c r="G30" s="50">
        <f t="shared" si="4"/>
        <v>8.8800000000000008</v>
      </c>
      <c r="H30" s="50">
        <f t="shared" si="5"/>
        <v>23.279999999999998</v>
      </c>
      <c r="I30" s="50">
        <f t="shared" si="6"/>
        <v>78.719999999999985</v>
      </c>
      <c r="J30" s="51">
        <f t="shared" si="7"/>
        <v>280.8</v>
      </c>
    </row>
    <row r="31" spans="2:10" ht="21">
      <c r="B31" s="46">
        <v>2600</v>
      </c>
      <c r="C31" s="50">
        <f t="shared" si="0"/>
        <v>0.26</v>
      </c>
      <c r="D31" s="50">
        <f t="shared" si="1"/>
        <v>1.04</v>
      </c>
      <c r="E31" s="50">
        <f t="shared" si="2"/>
        <v>2.6</v>
      </c>
      <c r="F31" s="50">
        <f t="shared" si="3"/>
        <v>4.9400000000000004</v>
      </c>
      <c r="G31" s="50">
        <f t="shared" si="4"/>
        <v>9.620000000000001</v>
      </c>
      <c r="H31" s="50">
        <f t="shared" si="5"/>
        <v>25.219999999999995</v>
      </c>
      <c r="I31" s="50">
        <f t="shared" si="6"/>
        <v>85.279999999999987</v>
      </c>
      <c r="J31" s="51">
        <f t="shared" si="7"/>
        <v>304.20000000000005</v>
      </c>
    </row>
    <row r="32" spans="2:10" ht="21">
      <c r="B32" s="46">
        <v>2800</v>
      </c>
      <c r="C32" s="50">
        <f t="shared" si="0"/>
        <v>0.28000000000000003</v>
      </c>
      <c r="D32" s="50">
        <f t="shared" si="1"/>
        <v>1.1200000000000001</v>
      </c>
      <c r="E32" s="50">
        <f t="shared" si="2"/>
        <v>2.8000000000000003</v>
      </c>
      <c r="F32" s="50">
        <f t="shared" si="3"/>
        <v>5.32</v>
      </c>
      <c r="G32" s="50">
        <f t="shared" si="4"/>
        <v>10.360000000000001</v>
      </c>
      <c r="H32" s="50">
        <f t="shared" si="5"/>
        <v>27.159999999999997</v>
      </c>
      <c r="I32" s="50">
        <f t="shared" si="6"/>
        <v>91.839999999999989</v>
      </c>
      <c r="J32" s="51">
        <f t="shared" si="7"/>
        <v>327.60000000000002</v>
      </c>
    </row>
    <row r="33" spans="2:10" ht="21">
      <c r="B33" s="47">
        <v>3000</v>
      </c>
      <c r="C33" s="52">
        <f t="shared" si="0"/>
        <v>0.3</v>
      </c>
      <c r="D33" s="52">
        <f t="shared" si="1"/>
        <v>1.2</v>
      </c>
      <c r="E33" s="52">
        <f t="shared" si="2"/>
        <v>3</v>
      </c>
      <c r="F33" s="52">
        <f t="shared" si="3"/>
        <v>5.7</v>
      </c>
      <c r="G33" s="52">
        <f t="shared" si="4"/>
        <v>11.1</v>
      </c>
      <c r="H33" s="52">
        <f t="shared" si="5"/>
        <v>29.099999999999994</v>
      </c>
      <c r="I33" s="52">
        <f t="shared" si="6"/>
        <v>98.399999999999991</v>
      </c>
      <c r="J33" s="53">
        <f t="shared" si="7"/>
        <v>351</v>
      </c>
    </row>
    <row r="34" spans="2:10">
      <c r="B34" s="4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2:N44"/>
  <sheetViews>
    <sheetView workbookViewId="0">
      <selection activeCell="A2" sqref="A2"/>
    </sheetView>
  </sheetViews>
  <sheetFormatPr defaultRowHeight="15"/>
  <sheetData>
    <row r="12" spans="2:14" ht="18.75">
      <c r="N12" s="1"/>
    </row>
    <row r="13" spans="2:14" ht="18.75">
      <c r="N13" s="13" t="s">
        <v>0</v>
      </c>
    </row>
    <row r="14" spans="2:14" ht="18.75">
      <c r="N14" s="1"/>
    </row>
    <row r="16" spans="2:14" ht="18.75">
      <c r="B16" s="10" t="s">
        <v>1</v>
      </c>
      <c r="C16" s="11" t="s">
        <v>4</v>
      </c>
      <c r="D16" s="11" t="s">
        <v>2</v>
      </c>
      <c r="E16" s="12" t="s">
        <v>3</v>
      </c>
    </row>
    <row r="17" spans="2:5" ht="18.75">
      <c r="B17" s="2">
        <v>2</v>
      </c>
      <c r="C17" s="3">
        <v>0</v>
      </c>
      <c r="D17" s="4">
        <v>-124.5</v>
      </c>
      <c r="E17" s="5">
        <v>-40.5</v>
      </c>
    </row>
    <row r="18" spans="2:5" ht="18.75">
      <c r="B18" s="2">
        <v>2.5</v>
      </c>
      <c r="C18" s="3">
        <v>0</v>
      </c>
      <c r="D18" s="4">
        <v>-116.8</v>
      </c>
      <c r="E18" s="5">
        <v>-36.700000000000003</v>
      </c>
    </row>
    <row r="19" spans="2:5" ht="18.75">
      <c r="B19" s="2">
        <v>3.15</v>
      </c>
      <c r="C19" s="3">
        <v>0</v>
      </c>
      <c r="D19" s="4">
        <v>-108.9</v>
      </c>
      <c r="E19" s="5">
        <v>-32.700000000000003</v>
      </c>
    </row>
    <row r="20" spans="2:5" ht="18.75">
      <c r="B20" s="2">
        <v>4</v>
      </c>
      <c r="C20" s="3">
        <v>0</v>
      </c>
      <c r="D20" s="4">
        <v>-100.7</v>
      </c>
      <c r="E20" s="5">
        <v>-28.7</v>
      </c>
    </row>
    <row r="21" spans="2:5" ht="18.75">
      <c r="B21" s="2">
        <v>5</v>
      </c>
      <c r="C21" s="3">
        <v>0</v>
      </c>
      <c r="D21" s="4">
        <v>-93.1</v>
      </c>
      <c r="E21" s="5">
        <v>-25</v>
      </c>
    </row>
    <row r="22" spans="2:5" ht="18.75">
      <c r="B22" s="2">
        <v>6.3</v>
      </c>
      <c r="C22" s="3">
        <v>0</v>
      </c>
      <c r="D22" s="4">
        <v>-85.4</v>
      </c>
      <c r="E22" s="5">
        <v>-21.3</v>
      </c>
    </row>
    <row r="23" spans="2:5" ht="18.75">
      <c r="B23" s="2">
        <v>8</v>
      </c>
      <c r="C23" s="3">
        <v>0</v>
      </c>
      <c r="D23" s="4">
        <v>-77.5</v>
      </c>
      <c r="E23" s="5">
        <v>-17.600000000000001</v>
      </c>
    </row>
    <row r="24" spans="2:5" ht="18.75">
      <c r="B24" s="2">
        <v>10</v>
      </c>
      <c r="C24" s="3">
        <v>0</v>
      </c>
      <c r="D24" s="4">
        <v>-70.400000000000006</v>
      </c>
      <c r="E24" s="5">
        <v>-14.3</v>
      </c>
    </row>
    <row r="25" spans="2:5" ht="18.75">
      <c r="B25" s="2">
        <v>12.5</v>
      </c>
      <c r="C25" s="3">
        <v>0</v>
      </c>
      <c r="D25" s="4">
        <v>-63.6</v>
      </c>
      <c r="E25" s="5">
        <v>-11.3</v>
      </c>
    </row>
    <row r="26" spans="2:5" ht="18.75">
      <c r="B26" s="2">
        <v>16</v>
      </c>
      <c r="C26" s="3">
        <v>0</v>
      </c>
      <c r="D26" s="4">
        <v>-56.4</v>
      </c>
      <c r="E26" s="5">
        <v>-8.4</v>
      </c>
    </row>
    <row r="27" spans="2:5" ht="18.75">
      <c r="B27" s="2">
        <v>20</v>
      </c>
      <c r="C27" s="3">
        <v>0</v>
      </c>
      <c r="D27" s="4">
        <v>-50.4</v>
      </c>
      <c r="E27" s="5">
        <v>-6.2</v>
      </c>
    </row>
    <row r="28" spans="2:5" ht="18.75">
      <c r="B28" s="2">
        <v>25</v>
      </c>
      <c r="C28" s="3">
        <v>0</v>
      </c>
      <c r="D28" s="4">
        <v>-44.8</v>
      </c>
      <c r="E28" s="5">
        <v>-4.4000000000000004</v>
      </c>
    </row>
    <row r="29" spans="2:5" ht="18.75">
      <c r="B29" s="2">
        <v>31.5</v>
      </c>
      <c r="C29" s="3">
        <v>0</v>
      </c>
      <c r="D29" s="4">
        <v>-39.5</v>
      </c>
      <c r="E29" s="5">
        <v>-3</v>
      </c>
    </row>
    <row r="30" spans="2:5" ht="18.75">
      <c r="B30" s="2">
        <v>40</v>
      </c>
      <c r="C30" s="3">
        <v>0</v>
      </c>
      <c r="D30" s="4">
        <v>-34.6</v>
      </c>
      <c r="E30" s="5">
        <v>-1.98</v>
      </c>
    </row>
    <row r="31" spans="2:5" ht="18.75">
      <c r="B31" s="2">
        <v>50</v>
      </c>
      <c r="C31" s="3">
        <v>0</v>
      </c>
      <c r="D31" s="4">
        <v>-30.2</v>
      </c>
      <c r="E31" s="5">
        <v>-1.3</v>
      </c>
    </row>
    <row r="32" spans="2:5" ht="18.75">
      <c r="B32" s="2">
        <v>63</v>
      </c>
      <c r="C32" s="3">
        <v>0</v>
      </c>
      <c r="D32" s="4">
        <v>-26.2</v>
      </c>
      <c r="E32" s="5">
        <v>-0.8</v>
      </c>
    </row>
    <row r="33" spans="2:5" ht="18.75">
      <c r="B33" s="2">
        <v>80</v>
      </c>
      <c r="C33" s="3">
        <v>0</v>
      </c>
      <c r="D33" s="4">
        <v>-22.4</v>
      </c>
      <c r="E33" s="5">
        <v>-0.5</v>
      </c>
    </row>
    <row r="34" spans="2:5" ht="18.75">
      <c r="B34" s="2">
        <v>100</v>
      </c>
      <c r="C34" s="3">
        <v>0</v>
      </c>
      <c r="D34" s="4">
        <v>-19.100000000000001</v>
      </c>
      <c r="E34" s="5">
        <v>-0.3</v>
      </c>
    </row>
    <row r="35" spans="2:5" ht="18.75">
      <c r="B35" s="2">
        <v>125</v>
      </c>
      <c r="C35" s="3">
        <v>0</v>
      </c>
      <c r="D35" s="4">
        <v>-16.2</v>
      </c>
      <c r="E35" s="5">
        <v>-0.2</v>
      </c>
    </row>
    <row r="36" spans="2:5" ht="18.75">
      <c r="B36" s="2">
        <v>160</v>
      </c>
      <c r="C36" s="3">
        <v>0</v>
      </c>
      <c r="D36" s="4">
        <v>-13.2</v>
      </c>
      <c r="E36" s="5">
        <v>-0.08</v>
      </c>
    </row>
    <row r="37" spans="2:5" ht="18.75">
      <c r="B37" s="2">
        <v>200</v>
      </c>
      <c r="C37" s="3">
        <v>0</v>
      </c>
      <c r="D37" s="4">
        <v>-10.8</v>
      </c>
      <c r="E37" s="5">
        <v>-0.03</v>
      </c>
    </row>
    <row r="38" spans="2:5" ht="18.75">
      <c r="B38" s="2">
        <v>250</v>
      </c>
      <c r="C38" s="3">
        <v>0</v>
      </c>
      <c r="D38" s="4">
        <v>-8.6</v>
      </c>
      <c r="E38" s="5">
        <v>0</v>
      </c>
    </row>
    <row r="39" spans="2:5" ht="18.75">
      <c r="B39" s="2">
        <v>500</v>
      </c>
      <c r="C39" s="3">
        <v>0</v>
      </c>
      <c r="D39" s="4">
        <v>-3.2</v>
      </c>
      <c r="E39" s="5">
        <v>0</v>
      </c>
    </row>
    <row r="40" spans="2:5" ht="18.75">
      <c r="B40" s="2">
        <v>1000</v>
      </c>
      <c r="C40" s="3">
        <v>0</v>
      </c>
      <c r="D40" s="4">
        <v>0</v>
      </c>
      <c r="E40" s="5">
        <v>0</v>
      </c>
    </row>
    <row r="41" spans="2:5" ht="18.75">
      <c r="B41" s="2">
        <v>2000</v>
      </c>
      <c r="C41" s="3">
        <v>0</v>
      </c>
      <c r="D41" s="4">
        <v>1.2</v>
      </c>
      <c r="E41" s="5">
        <v>-0.2</v>
      </c>
    </row>
    <row r="42" spans="2:5" ht="18.75">
      <c r="B42" s="2">
        <v>4000</v>
      </c>
      <c r="C42" s="3">
        <v>0</v>
      </c>
      <c r="D42" s="4">
        <v>1</v>
      </c>
      <c r="E42" s="5">
        <v>-0.8</v>
      </c>
    </row>
    <row r="43" spans="2:5" ht="18.75">
      <c r="B43" s="2">
        <v>8000</v>
      </c>
      <c r="C43" s="3">
        <v>0</v>
      </c>
      <c r="D43" s="4">
        <v>-1.1000000000000001</v>
      </c>
      <c r="E43" s="5">
        <v>-3</v>
      </c>
    </row>
    <row r="44" spans="2:5" ht="18.75">
      <c r="B44" s="6">
        <v>10000</v>
      </c>
      <c r="C44" s="7">
        <v>0</v>
      </c>
      <c r="D44" s="8">
        <v>-1.8</v>
      </c>
      <c r="E44" s="9">
        <v>-5</v>
      </c>
    </row>
  </sheetData>
  <hyperlinks>
    <hyperlink ref="N13" r:id="rId1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B102:N116"/>
  <sheetViews>
    <sheetView zoomScale="90" zoomScaleNormal="90" workbookViewId="0">
      <selection activeCell="A2" sqref="A2"/>
    </sheetView>
  </sheetViews>
  <sheetFormatPr defaultRowHeight="15"/>
  <sheetData>
    <row r="102" spans="2:14" ht="21">
      <c r="B102" s="15" t="s">
        <v>37</v>
      </c>
    </row>
    <row r="104" spans="2:14" ht="21">
      <c r="B104" s="45" t="s">
        <v>1</v>
      </c>
      <c r="C104" s="17"/>
      <c r="D104" s="17" t="s">
        <v>35</v>
      </c>
      <c r="E104" s="17"/>
      <c r="F104" s="17" t="s">
        <v>36</v>
      </c>
      <c r="G104" s="18"/>
      <c r="K104" s="16"/>
      <c r="L104" s="17" t="s">
        <v>30</v>
      </c>
      <c r="M104" s="17">
        <v>120</v>
      </c>
      <c r="N104" s="18" t="s">
        <v>34</v>
      </c>
    </row>
    <row r="105" spans="2:14">
      <c r="B105" s="30"/>
      <c r="C105" s="19"/>
      <c r="D105" s="19"/>
      <c r="E105" s="19"/>
      <c r="F105" s="19"/>
      <c r="G105" s="32"/>
      <c r="K105" s="30"/>
      <c r="L105" s="19" t="s">
        <v>31</v>
      </c>
      <c r="M105" s="19">
        <v>65</v>
      </c>
      <c r="N105" s="32" t="s">
        <v>34</v>
      </c>
    </row>
    <row r="106" spans="2:14" ht="18.75">
      <c r="B106" s="57">
        <v>20</v>
      </c>
      <c r="C106" s="19"/>
      <c r="D106" s="88">
        <f>(M109/B106)</f>
        <v>16.5</v>
      </c>
      <c r="E106" s="19"/>
      <c r="F106" s="93">
        <f>(2*M106^2/D106)</f>
        <v>4148.484848484848</v>
      </c>
      <c r="G106" s="32"/>
      <c r="K106" s="30"/>
      <c r="L106" s="19" t="s">
        <v>32</v>
      </c>
      <c r="M106" s="19">
        <f>(M104+M105)</f>
        <v>185</v>
      </c>
      <c r="N106" s="32" t="s">
        <v>34</v>
      </c>
    </row>
    <row r="107" spans="2:14" ht="18.75">
      <c r="B107" s="2">
        <v>25</v>
      </c>
      <c r="C107" s="19"/>
      <c r="D107" s="88">
        <f>(M109/B107)</f>
        <v>13.2</v>
      </c>
      <c r="E107" s="19"/>
      <c r="F107" s="93">
        <f>(2*M106^2/D107)</f>
        <v>5185.606060606061</v>
      </c>
      <c r="G107" s="32"/>
      <c r="K107" s="30"/>
      <c r="L107" s="19"/>
      <c r="M107" s="19"/>
      <c r="N107" s="32"/>
    </row>
    <row r="108" spans="2:14" ht="18.75">
      <c r="B108" s="2">
        <v>31.5</v>
      </c>
      <c r="C108" s="19"/>
      <c r="D108" s="88">
        <f>(M109/B108)</f>
        <v>10.476190476190476</v>
      </c>
      <c r="E108" s="19"/>
      <c r="F108" s="93">
        <f>(2*M106^2/D108)</f>
        <v>6533.863636363636</v>
      </c>
      <c r="G108" s="32"/>
      <c r="K108" s="30"/>
      <c r="L108" s="19"/>
      <c r="M108" s="19"/>
      <c r="N108" s="32"/>
    </row>
    <row r="109" spans="2:14" ht="18.75">
      <c r="B109" s="2">
        <v>63</v>
      </c>
      <c r="C109" s="19"/>
      <c r="D109" s="88">
        <f>(M109/B109)</f>
        <v>5.2380952380952381</v>
      </c>
      <c r="E109" s="19"/>
      <c r="F109" s="93">
        <f>(2*M106^2/D109)</f>
        <v>13067.727272727272</v>
      </c>
      <c r="G109" s="32"/>
      <c r="K109" s="30" t="s">
        <v>40</v>
      </c>
      <c r="L109" s="19"/>
      <c r="M109" s="19">
        <v>330</v>
      </c>
      <c r="N109" s="32" t="s">
        <v>33</v>
      </c>
    </row>
    <row r="110" spans="2:14" ht="18.75">
      <c r="B110" s="2">
        <v>125</v>
      </c>
      <c r="C110" s="19"/>
      <c r="D110" s="88">
        <f>(M109/B110)</f>
        <v>2.64</v>
      </c>
      <c r="E110" s="19"/>
      <c r="F110" s="93">
        <f>(2*M106^2/D110)</f>
        <v>25928.0303030303</v>
      </c>
      <c r="G110" s="32"/>
      <c r="K110" s="30" t="s">
        <v>41</v>
      </c>
      <c r="L110" s="19"/>
      <c r="M110" s="19"/>
      <c r="N110" s="32"/>
    </row>
    <row r="111" spans="2:14" ht="18.75">
      <c r="B111" s="2">
        <v>250</v>
      </c>
      <c r="C111" s="19"/>
      <c r="D111" s="88">
        <f>(M109/B111)</f>
        <v>1.32</v>
      </c>
      <c r="E111" s="19"/>
      <c r="F111" s="93">
        <f>(2*M106^2/D111)</f>
        <v>51856.060606060601</v>
      </c>
      <c r="G111" s="32"/>
      <c r="K111" s="20"/>
      <c r="L111" s="21"/>
      <c r="M111" s="21"/>
      <c r="N111" s="22"/>
    </row>
    <row r="112" spans="2:14" ht="18.75">
      <c r="B112" s="2">
        <v>500</v>
      </c>
      <c r="C112" s="19"/>
      <c r="D112" s="88">
        <f>(M109/B112)</f>
        <v>0.66</v>
      </c>
      <c r="E112" s="19"/>
      <c r="F112" s="93">
        <f>(2*M106^2/D112)</f>
        <v>103712.1212121212</v>
      </c>
      <c r="G112" s="32"/>
    </row>
    <row r="113" spans="2:7" ht="18.75">
      <c r="B113" s="2">
        <v>1000</v>
      </c>
      <c r="C113" s="19"/>
      <c r="D113" s="88">
        <f>(M109/B113)</f>
        <v>0.33</v>
      </c>
      <c r="E113" s="19"/>
      <c r="F113" s="93">
        <f>(2*M106^2/D113)</f>
        <v>207424.2424242424</v>
      </c>
      <c r="G113" s="32"/>
    </row>
    <row r="114" spans="2:7" ht="18.75">
      <c r="B114" s="2">
        <v>2000</v>
      </c>
      <c r="C114" s="19"/>
      <c r="D114" s="88">
        <f>(M109/B114)</f>
        <v>0.16500000000000001</v>
      </c>
      <c r="E114" s="19"/>
      <c r="F114" s="93">
        <f>(2*M106^2/D114)</f>
        <v>414848.4848484848</v>
      </c>
      <c r="G114" s="32"/>
    </row>
    <row r="115" spans="2:7" ht="18.75">
      <c r="B115" s="2">
        <v>4000</v>
      </c>
      <c r="C115" s="19"/>
      <c r="D115" s="88">
        <f>(M109/B115)</f>
        <v>8.2500000000000004E-2</v>
      </c>
      <c r="E115" s="19"/>
      <c r="F115" s="93">
        <f>(2*M106^2/D115)</f>
        <v>829696.96969696961</v>
      </c>
      <c r="G115" s="32"/>
    </row>
    <row r="116" spans="2:7" ht="18.75">
      <c r="B116" s="6">
        <v>8000</v>
      </c>
      <c r="C116" s="21"/>
      <c r="D116" s="90">
        <f>(M109/B116)</f>
        <v>4.1250000000000002E-2</v>
      </c>
      <c r="E116" s="21"/>
      <c r="F116" s="94">
        <f>(2*M106^2/D116)</f>
        <v>1659393.9393939392</v>
      </c>
      <c r="G116" s="2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2:O49"/>
  <sheetViews>
    <sheetView workbookViewId="0">
      <selection activeCell="A2" sqref="A2"/>
    </sheetView>
  </sheetViews>
  <sheetFormatPr defaultRowHeight="15"/>
  <cols>
    <col min="5" max="5" width="9.5703125" bestFit="1" customWidth="1"/>
  </cols>
  <sheetData>
    <row r="2" spans="3:3" ht="21">
      <c r="C2" s="15" t="s">
        <v>10</v>
      </c>
    </row>
    <row r="29" spans="2:15">
      <c r="B29" s="16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8"/>
    </row>
    <row r="30" spans="2:15" ht="18.75">
      <c r="B30" s="54" t="s">
        <v>1</v>
      </c>
      <c r="C30" s="31" t="s">
        <v>21</v>
      </c>
      <c r="D30" s="3"/>
      <c r="E30" s="19"/>
      <c r="F30" s="19"/>
      <c r="G30" s="55" t="s">
        <v>1</v>
      </c>
      <c r="H30" s="31" t="s">
        <v>22</v>
      </c>
      <c r="I30" s="3"/>
      <c r="J30" s="19"/>
      <c r="K30" s="19"/>
      <c r="L30" s="55" t="s">
        <v>1</v>
      </c>
      <c r="M30" s="31" t="s">
        <v>23</v>
      </c>
      <c r="N30" s="3"/>
      <c r="O30" s="32"/>
    </row>
    <row r="31" spans="2:15" ht="18.75">
      <c r="B31" s="56"/>
      <c r="C31" s="31"/>
      <c r="D31" s="3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32"/>
    </row>
    <row r="32" spans="2:15" ht="18.75">
      <c r="B32" s="57">
        <v>20</v>
      </c>
      <c r="C32" s="58">
        <v>73</v>
      </c>
      <c r="D32" s="59">
        <f t="shared" ref="D32:D42" si="0">(C32/10)</f>
        <v>7.3</v>
      </c>
      <c r="E32" s="19" t="s">
        <v>5</v>
      </c>
      <c r="F32" s="19"/>
      <c r="G32" s="58">
        <v>20</v>
      </c>
      <c r="H32" s="4">
        <f>(C32-'Muunnokset lin A C'!$D$27)</f>
        <v>123.4</v>
      </c>
      <c r="I32" s="59">
        <f t="shared" ref="I32:I42" si="1">(H32/10)</f>
        <v>12.34</v>
      </c>
      <c r="J32" s="19"/>
      <c r="K32" s="19"/>
      <c r="L32" s="58">
        <v>20</v>
      </c>
      <c r="M32" s="4">
        <f>(C32-('Muunnokset lin A C'!$D$27-'Muunnokset lin A C'!$E$27))</f>
        <v>117.19999999999999</v>
      </c>
      <c r="N32" s="59">
        <f t="shared" ref="N32:N42" si="2">(M32/10)</f>
        <v>11.719999999999999</v>
      </c>
      <c r="O32" s="32"/>
    </row>
    <row r="33" spans="2:15" ht="18.75">
      <c r="B33" s="2">
        <v>25</v>
      </c>
      <c r="C33" s="58">
        <v>74.2</v>
      </c>
      <c r="D33" s="59">
        <f t="shared" si="0"/>
        <v>7.42</v>
      </c>
      <c r="E33" s="19" t="s">
        <v>5</v>
      </c>
      <c r="F33" s="19"/>
      <c r="G33" s="4">
        <v>25</v>
      </c>
      <c r="H33" s="4">
        <f>(C33-'Muunnokset lin A C'!$D$28)</f>
        <v>119</v>
      </c>
      <c r="I33" s="59">
        <f t="shared" si="1"/>
        <v>11.9</v>
      </c>
      <c r="J33" s="19"/>
      <c r="K33" s="19"/>
      <c r="L33" s="4">
        <v>25</v>
      </c>
      <c r="M33" s="4">
        <f>(C33-('Muunnokset lin A C'!$D$28-'Muunnokset lin A C'!$E$28))</f>
        <v>114.6</v>
      </c>
      <c r="N33" s="59">
        <f t="shared" si="2"/>
        <v>11.459999999999999</v>
      </c>
      <c r="O33" s="32"/>
    </row>
    <row r="34" spans="2:15" ht="18.75">
      <c r="B34" s="2">
        <v>31.5</v>
      </c>
      <c r="C34" s="4">
        <v>77.7</v>
      </c>
      <c r="D34" s="59">
        <f t="shared" si="0"/>
        <v>7.7700000000000005</v>
      </c>
      <c r="E34" s="19"/>
      <c r="F34" s="19"/>
      <c r="G34" s="4">
        <v>31.5</v>
      </c>
      <c r="H34" s="4">
        <f>(C34-'Muunnokset lin A C'!$D$29)</f>
        <v>117.2</v>
      </c>
      <c r="I34" s="59">
        <f t="shared" si="1"/>
        <v>11.72</v>
      </c>
      <c r="J34" s="19"/>
      <c r="K34" s="19"/>
      <c r="L34" s="4">
        <v>31.5</v>
      </c>
      <c r="M34" s="4">
        <f>(C34-('Muunnokset lin A C'!$D$29-'Muunnokset lin A C'!$E$29))</f>
        <v>114.2</v>
      </c>
      <c r="N34" s="59">
        <f t="shared" si="2"/>
        <v>11.42</v>
      </c>
      <c r="O34" s="32"/>
    </row>
    <row r="35" spans="2:15" ht="18.75">
      <c r="B35" s="2">
        <v>63</v>
      </c>
      <c r="C35" s="4">
        <v>90.4</v>
      </c>
      <c r="D35" s="59">
        <f t="shared" si="0"/>
        <v>9.0400000000000009</v>
      </c>
      <c r="E35" s="19"/>
      <c r="F35" s="19"/>
      <c r="G35" s="4">
        <v>63</v>
      </c>
      <c r="H35" s="4">
        <f>(C35-'Muunnokset lin A C'!$D$32)</f>
        <v>116.60000000000001</v>
      </c>
      <c r="I35" s="59">
        <f t="shared" si="1"/>
        <v>11.66</v>
      </c>
      <c r="J35" s="19"/>
      <c r="K35" s="19"/>
      <c r="L35" s="4">
        <v>63</v>
      </c>
      <c r="M35" s="4">
        <f>(C35-('Muunnokset lin A C'!$D$32-'Muunnokset lin A C'!$E$32))</f>
        <v>115.80000000000001</v>
      </c>
      <c r="N35" s="59">
        <f t="shared" si="2"/>
        <v>11.580000000000002</v>
      </c>
      <c r="O35" s="32"/>
    </row>
    <row r="36" spans="2:15" ht="18.75">
      <c r="B36" s="2">
        <v>125</v>
      </c>
      <c r="C36" s="4">
        <v>95.9</v>
      </c>
      <c r="D36" s="59">
        <f t="shared" si="0"/>
        <v>9.59</v>
      </c>
      <c r="E36" s="19"/>
      <c r="F36" s="19"/>
      <c r="G36" s="4">
        <v>125</v>
      </c>
      <c r="H36" s="4">
        <f>(C36-'Muunnokset lin A C'!$D$35)</f>
        <v>112.10000000000001</v>
      </c>
      <c r="I36" s="59">
        <f t="shared" si="1"/>
        <v>11.21</v>
      </c>
      <c r="J36" s="19"/>
      <c r="K36" s="19"/>
      <c r="L36" s="4">
        <v>125</v>
      </c>
      <c r="M36" s="4">
        <f>(C36-('Muunnokset lin A C'!$D$35-'Muunnokset lin A C'!$E$35))</f>
        <v>111.9</v>
      </c>
      <c r="N36" s="59">
        <f t="shared" si="2"/>
        <v>11.190000000000001</v>
      </c>
      <c r="O36" s="32"/>
    </row>
    <row r="37" spans="2:15" ht="18.75">
      <c r="B37" s="2">
        <v>250</v>
      </c>
      <c r="C37" s="4">
        <v>96.5</v>
      </c>
      <c r="D37" s="59">
        <f t="shared" si="0"/>
        <v>9.65</v>
      </c>
      <c r="E37" s="19"/>
      <c r="F37" s="19"/>
      <c r="G37" s="4">
        <v>250</v>
      </c>
      <c r="H37" s="4">
        <f>(C37-'Muunnokset lin A C'!$D$38)</f>
        <v>105.1</v>
      </c>
      <c r="I37" s="59">
        <f t="shared" si="1"/>
        <v>10.51</v>
      </c>
      <c r="J37" s="19"/>
      <c r="K37" s="19"/>
      <c r="L37" s="4">
        <v>250</v>
      </c>
      <c r="M37" s="4">
        <f>(C37-('Muunnokset lin A C'!$D$38-'Muunnokset lin A C'!$E$38))</f>
        <v>105.1</v>
      </c>
      <c r="N37" s="59">
        <f t="shared" si="2"/>
        <v>10.51</v>
      </c>
      <c r="O37" s="32"/>
    </row>
    <row r="38" spans="2:15" ht="18.75">
      <c r="B38" s="2">
        <v>500</v>
      </c>
      <c r="C38" s="4">
        <v>99</v>
      </c>
      <c r="D38" s="59">
        <f t="shared" si="0"/>
        <v>9.9</v>
      </c>
      <c r="E38" s="19"/>
      <c r="F38" s="19"/>
      <c r="G38" s="4">
        <v>500</v>
      </c>
      <c r="H38" s="4">
        <f>(C38-'Muunnokset lin A C'!$D$39)</f>
        <v>102.2</v>
      </c>
      <c r="I38" s="59">
        <f t="shared" si="1"/>
        <v>10.220000000000001</v>
      </c>
      <c r="J38" s="19"/>
      <c r="K38" s="19"/>
      <c r="L38" s="4">
        <v>500</v>
      </c>
      <c r="M38" s="4">
        <f>(C38-('Muunnokset lin A C'!$D$39-'Muunnokset lin A C'!$E$39))</f>
        <v>102.2</v>
      </c>
      <c r="N38" s="59">
        <f t="shared" si="2"/>
        <v>10.220000000000001</v>
      </c>
      <c r="O38" s="32"/>
    </row>
    <row r="39" spans="2:15" ht="18.75">
      <c r="B39" s="2">
        <v>1000</v>
      </c>
      <c r="C39" s="42">
        <v>101.8</v>
      </c>
      <c r="D39" s="59">
        <f t="shared" si="0"/>
        <v>10.18</v>
      </c>
      <c r="E39" s="19"/>
      <c r="F39" s="19"/>
      <c r="G39" s="4">
        <v>1000</v>
      </c>
      <c r="H39" s="4">
        <f>(C39-'Muunnokset lin A C'!$D$40)</f>
        <v>101.8</v>
      </c>
      <c r="I39" s="59">
        <f t="shared" si="1"/>
        <v>10.18</v>
      </c>
      <c r="J39" s="19"/>
      <c r="K39" s="19"/>
      <c r="L39" s="4">
        <v>1000</v>
      </c>
      <c r="M39" s="4">
        <f>(C39-('Muunnokset lin A C'!$D$40-'Muunnokset lin A C'!$E$40))</f>
        <v>101.8</v>
      </c>
      <c r="N39" s="59">
        <f t="shared" si="2"/>
        <v>10.18</v>
      </c>
      <c r="O39" s="32"/>
    </row>
    <row r="40" spans="2:15" ht="18.75">
      <c r="B40" s="2">
        <v>2000</v>
      </c>
      <c r="C40" s="4">
        <v>99.7</v>
      </c>
      <c r="D40" s="59">
        <f t="shared" si="0"/>
        <v>9.9700000000000006</v>
      </c>
      <c r="E40" s="19"/>
      <c r="F40" s="19"/>
      <c r="G40" s="4">
        <v>2000</v>
      </c>
      <c r="H40" s="4">
        <f>(C40-'Muunnokset lin A C'!$D$41)</f>
        <v>98.5</v>
      </c>
      <c r="I40" s="59">
        <f t="shared" si="1"/>
        <v>9.85</v>
      </c>
      <c r="J40" s="19"/>
      <c r="K40" s="19"/>
      <c r="L40" s="4">
        <v>2000</v>
      </c>
      <c r="M40" s="4">
        <f>(C40-('Muunnokset lin A C'!$D$41-'Muunnokset lin A C'!$E$41))</f>
        <v>98.3</v>
      </c>
      <c r="N40" s="59">
        <f t="shared" si="2"/>
        <v>9.83</v>
      </c>
      <c r="O40" s="32"/>
    </row>
    <row r="41" spans="2:15" ht="18.75">
      <c r="B41" s="2">
        <v>4000</v>
      </c>
      <c r="C41" s="4">
        <v>94.8</v>
      </c>
      <c r="D41" s="59">
        <f t="shared" si="0"/>
        <v>9.48</v>
      </c>
      <c r="E41" s="19"/>
      <c r="F41" s="19"/>
      <c r="G41" s="4">
        <v>4000</v>
      </c>
      <c r="H41" s="4">
        <f>(C41-'Muunnokset lin A C'!$D$42)</f>
        <v>93.8</v>
      </c>
      <c r="I41" s="59">
        <f t="shared" si="1"/>
        <v>9.379999999999999</v>
      </c>
      <c r="J41" s="19"/>
      <c r="K41" s="19"/>
      <c r="L41" s="4">
        <v>4000</v>
      </c>
      <c r="M41" s="4">
        <f>(C41-('Muunnokset lin A C'!$D$42-'Muunnokset lin A C'!$E$42))</f>
        <v>93</v>
      </c>
      <c r="N41" s="59">
        <f t="shared" si="2"/>
        <v>9.3000000000000007</v>
      </c>
      <c r="O41" s="32"/>
    </row>
    <row r="42" spans="2:15" ht="18.75">
      <c r="B42" s="2">
        <v>8000</v>
      </c>
      <c r="C42" s="4">
        <v>87</v>
      </c>
      <c r="D42" s="59">
        <f t="shared" si="0"/>
        <v>8.6999999999999993</v>
      </c>
      <c r="E42" s="19"/>
      <c r="F42" s="19"/>
      <c r="G42" s="4">
        <v>8000</v>
      </c>
      <c r="H42" s="4">
        <f>(C42-'Muunnokset lin A C'!$D$43)</f>
        <v>88.1</v>
      </c>
      <c r="I42" s="59">
        <f t="shared" si="1"/>
        <v>8.8099999999999987</v>
      </c>
      <c r="J42" s="19"/>
      <c r="K42" s="19"/>
      <c r="L42" s="4">
        <v>8000</v>
      </c>
      <c r="M42" s="4">
        <f>(C42-('Muunnokset lin A C'!$D$43-'Muunnokset lin A C'!$E$43))</f>
        <v>85.1</v>
      </c>
      <c r="N42" s="59">
        <f t="shared" si="2"/>
        <v>8.51</v>
      </c>
      <c r="O42" s="32"/>
    </row>
    <row r="43" spans="2:15">
      <c r="B43" s="30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32"/>
    </row>
    <row r="44" spans="2:15" ht="18.75">
      <c r="B44" s="2" t="s">
        <v>6</v>
      </c>
      <c r="C44" s="60">
        <f>(10*LOG(10^D32+10^D33+10^D34+10^D35+10^D36+10^D37+10^D38+10^D39+10^D40+10^D41+10^D42))</f>
        <v>106.57930085585319</v>
      </c>
      <c r="D44" s="4" t="s">
        <v>2</v>
      </c>
      <c r="E44" s="4"/>
      <c r="F44" s="19"/>
      <c r="G44" s="4" t="s">
        <v>6</v>
      </c>
      <c r="H44" s="60">
        <f>(10*LOG(10^I32+10^I33+10^I34+10^I35+10^I36+10^I37+10^I38+10^I39+10^I40+10^I41+10^I42))</f>
        <v>126.23288717430519</v>
      </c>
      <c r="I44" s="4" t="s">
        <v>4</v>
      </c>
      <c r="J44" s="19"/>
      <c r="K44" s="19"/>
      <c r="L44" s="4" t="s">
        <v>6</v>
      </c>
      <c r="M44" s="60">
        <f>(10*LOG(10^N32+10^N33+10^N34+10^N35+10^N36+10^N37+10^N38+10^N39+10^N40+10^N41+10^N42))</f>
        <v>122.2646560134732</v>
      </c>
      <c r="N44" s="4" t="s">
        <v>3</v>
      </c>
      <c r="O44" s="32"/>
    </row>
    <row r="45" spans="2:15">
      <c r="B45" s="20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2"/>
    </row>
    <row r="47" spans="2:15">
      <c r="B47" s="16"/>
      <c r="C47" s="17"/>
      <c r="D47" s="17"/>
      <c r="E47" s="17"/>
      <c r="F47" s="18"/>
    </row>
    <row r="48" spans="2:15" ht="21">
      <c r="B48" s="23" t="s">
        <v>7</v>
      </c>
      <c r="C48" s="24"/>
      <c r="D48" s="24"/>
      <c r="E48" s="25">
        <f>(M44-C44)</f>
        <v>15.685355157620009</v>
      </c>
      <c r="F48" s="28" t="s">
        <v>8</v>
      </c>
      <c r="H48" s="29" t="s">
        <v>9</v>
      </c>
    </row>
    <row r="49" spans="2:6">
      <c r="B49" s="20"/>
      <c r="C49" s="21"/>
      <c r="D49" s="21"/>
      <c r="E49" s="21"/>
      <c r="F49" s="2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Graafit</vt:lpstr>
      <vt:lpstr>Tuulivoimamelu </vt:lpstr>
      <vt:lpstr>Sisämelukäyrät</vt:lpstr>
      <vt:lpstr>Maavaimennus</vt:lpstr>
      <vt:lpstr>Ilmastovaimennus</vt:lpstr>
      <vt:lpstr>Muunnokset lin A C</vt:lpstr>
      <vt:lpstr>Kaavaselitykset</vt:lpstr>
      <vt:lpstr>Vestas 112 dataa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Atlantic</dc:creator>
  <cp:lastModifiedBy>Jari Vihriälä</cp:lastModifiedBy>
  <dcterms:created xsi:type="dcterms:W3CDTF">2013-11-04T06:13:56Z</dcterms:created>
  <dcterms:modified xsi:type="dcterms:W3CDTF">2013-11-20T13:10:47Z</dcterms:modified>
</cp:coreProperties>
</file>